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6"/>
  <workbookPr filterPrivacy="1"/>
  <xr:revisionPtr revIDLastSave="0" documentId="13_ncr:1_{11555313-6939-4344-9CF9-A2157CD09C1D}" xr6:coauthVersionLast="36" xr6:coauthVersionMax="36" xr10:uidLastSave="{00000000-0000-0000-0000-000000000000}"/>
  <bookViews>
    <workbookView xWindow="0" yWindow="0" windowWidth="19185" windowHeight="6600" tabRatio="729" xr2:uid="{00000000-000D-0000-FFFF-FFFF00000000}"/>
  </bookViews>
  <sheets>
    <sheet name="Overview Tables" sheetId="24" r:id="rId1"/>
    <sheet name="Literature Survey" sheetId="23" r:id="rId2"/>
    <sheet name="Powertrain parameters" sheetId="26" r:id="rId3"/>
    <sheet name="Fuels CI values" sheetId="25" r:id="rId4"/>
    <sheet name=" 2016 gCO2eqkm" sheetId="1" r:id="rId5"/>
    <sheet name=" 2016 gCO2eqtonkm" sheetId="2" r:id="rId6"/>
    <sheet name=" 2030 gCO2eqkm" sheetId="3" r:id="rId7"/>
    <sheet name=" 2030 gCO2eqtonkm" sheetId="4" r:id="rId8"/>
    <sheet name="Distance &amp; Payload" sheetId="10" r:id="rId9"/>
    <sheet name="2030 EP ton km" sheetId="22" r:id="rId10"/>
    <sheet name="Truck manufacturing &amp; recycling" sheetId="16" r:id="rId11"/>
    <sheet name="Energy Consumption" sheetId="17" r:id="rId12"/>
    <sheet name="Sensitivity GVW" sheetId="19" r:id="rId13"/>
  </sheets>
  <calcPr calcId="191029" calcMode="manual" iterate="1" iterateDelta="1.0000000000000001E-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24" l="1"/>
  <c r="E16" i="24"/>
  <c r="D16" i="24"/>
  <c r="K2" i="4" l="1"/>
  <c r="F7" i="10" l="1"/>
  <c r="D10" i="22"/>
  <c r="D9" i="22"/>
  <c r="D8" i="22"/>
  <c r="G10" i="10"/>
  <c r="G8" i="10"/>
  <c r="G9" i="10"/>
  <c r="G7" i="10"/>
  <c r="E3" i="10"/>
  <c r="F10" i="10"/>
  <c r="E2" i="10"/>
  <c r="D7" i="22"/>
  <c r="D6" i="22"/>
  <c r="D5" i="22"/>
  <c r="E5" i="22" s="1"/>
  <c r="K7" i="10"/>
  <c r="J7" i="10"/>
  <c r="I7" i="10"/>
  <c r="H7" i="10"/>
  <c r="F9" i="10" l="1"/>
  <c r="F8" i="10"/>
  <c r="S8" i="10" l="1"/>
  <c r="S9" i="10"/>
  <c r="S10" i="10"/>
  <c r="S7" i="10"/>
  <c r="S38" i="19" l="1"/>
  <c r="S37" i="19"/>
  <c r="S36" i="19"/>
  <c r="N45" i="19" l="1"/>
  <c r="O45" i="19"/>
  <c r="P45" i="19"/>
  <c r="Q45" i="19"/>
  <c r="R45" i="19"/>
  <c r="N46" i="19"/>
  <c r="O46" i="19"/>
  <c r="P46" i="19"/>
  <c r="Q46" i="19"/>
  <c r="R46" i="19"/>
  <c r="O44" i="19"/>
  <c r="P44" i="19"/>
  <c r="Q44" i="19"/>
  <c r="R44" i="19"/>
  <c r="N44" i="19"/>
  <c r="AC38" i="19"/>
  <c r="AD38" i="19"/>
  <c r="AE38" i="19"/>
  <c r="U37" i="19"/>
  <c r="AB37" i="19" s="1"/>
  <c r="V37" i="19"/>
  <c r="AC37" i="19" s="1"/>
  <c r="W37" i="19"/>
  <c r="AD37" i="19" s="1"/>
  <c r="X37" i="19"/>
  <c r="AE37" i="19" s="1"/>
  <c r="Y37" i="19"/>
  <c r="AF37" i="19" s="1"/>
  <c r="U38" i="19"/>
  <c r="AB38" i="19" s="1"/>
  <c r="V38" i="19"/>
  <c r="W38" i="19"/>
  <c r="X38" i="19"/>
  <c r="Y38" i="19"/>
  <c r="AF38" i="19" s="1"/>
  <c r="V36" i="19"/>
  <c r="AC36" i="19" s="1"/>
  <c r="W36" i="19"/>
  <c r="AD36" i="19" s="1"/>
  <c r="X36" i="19"/>
  <c r="AE36" i="19" s="1"/>
  <c r="Y36" i="19"/>
  <c r="AF36" i="19" s="1"/>
  <c r="U36" i="19"/>
  <c r="AB36" i="19" s="1"/>
  <c r="J2" i="4" l="1"/>
  <c r="AY7" i="10"/>
  <c r="BM7" i="10" s="1"/>
  <c r="AX7" i="10"/>
  <c r="BL7" i="10" s="1"/>
  <c r="AW7" i="10"/>
  <c r="BK7" i="10" s="1"/>
  <c r="AV7" i="10"/>
  <c r="BJ7" i="10" s="1"/>
  <c r="AU7" i="10"/>
  <c r="BI7" i="10" s="1"/>
  <c r="AT7" i="10"/>
  <c r="BH7" i="10" s="1"/>
  <c r="AS7" i="10"/>
  <c r="BG7" i="10" s="1"/>
  <c r="AR7" i="10"/>
  <c r="BF7" i="10" s="1"/>
  <c r="AQ7" i="10"/>
  <c r="BE7" i="10" s="1"/>
  <c r="AP7" i="10"/>
  <c r="BD7" i="10" s="1"/>
  <c r="AO7" i="10"/>
  <c r="BC7" i="10" s="1"/>
  <c r="AN7" i="10"/>
  <c r="BB7" i="10" s="1"/>
  <c r="H63" i="17" l="1"/>
  <c r="J64" i="17"/>
  <c r="K64" i="17" s="1"/>
  <c r="H64" i="17"/>
  <c r="K60" i="17"/>
  <c r="K63" i="17" s="1"/>
  <c r="J60" i="17"/>
  <c r="J63" i="17" s="1"/>
  <c r="G61" i="17"/>
  <c r="G62" i="17"/>
  <c r="G60" i="17"/>
  <c r="E61" i="17"/>
  <c r="E62" i="17"/>
  <c r="E60" i="17"/>
  <c r="K34" i="17" l="1"/>
  <c r="J34" i="17"/>
  <c r="K33" i="17"/>
  <c r="J33" i="17"/>
  <c r="K23" i="17"/>
  <c r="L23" i="17"/>
  <c r="M23" i="17"/>
  <c r="N23" i="17"/>
  <c r="O23" i="17"/>
  <c r="P23" i="17"/>
  <c r="Q23" i="17"/>
  <c r="R23" i="17"/>
  <c r="S23" i="17"/>
  <c r="T23" i="17"/>
  <c r="U23" i="17"/>
  <c r="J23" i="17"/>
  <c r="H5" i="17" l="1"/>
  <c r="I5" i="17" s="1"/>
  <c r="H6" i="17"/>
  <c r="K6" i="17" s="1"/>
  <c r="H7" i="17"/>
  <c r="I7" i="17" s="1"/>
  <c r="H8" i="17"/>
  <c r="I8" i="17" s="1"/>
  <c r="H9" i="17"/>
  <c r="I9" i="17" s="1"/>
  <c r="H10" i="17"/>
  <c r="I10" i="17" s="1"/>
  <c r="H11" i="17"/>
  <c r="K11" i="17" s="1"/>
  <c r="H12" i="17"/>
  <c r="I12" i="17" s="1"/>
  <c r="H13" i="17"/>
  <c r="I13" i="17" s="1"/>
  <c r="H14" i="17"/>
  <c r="K14" i="17" s="1"/>
  <c r="H15" i="17"/>
  <c r="K15" i="17" s="1"/>
  <c r="H4" i="17"/>
  <c r="I4" i="17" s="1"/>
  <c r="A4" i="17"/>
  <c r="A5" i="17" s="1"/>
  <c r="A6" i="17" s="1"/>
  <c r="I11" i="17" l="1"/>
  <c r="K5" i="17"/>
  <c r="L5" i="17" s="1"/>
  <c r="I6" i="17"/>
  <c r="J6" i="17" s="1"/>
  <c r="I14" i="17"/>
  <c r="K10" i="17"/>
  <c r="K8" i="17"/>
  <c r="L6" i="17"/>
  <c r="I15" i="17"/>
  <c r="K9" i="17"/>
  <c r="K13" i="17"/>
  <c r="K12" i="17"/>
  <c r="J4" i="17"/>
  <c r="I22" i="17" s="1"/>
  <c r="K7" i="17"/>
  <c r="K4" i="17"/>
  <c r="L4" i="17" s="1"/>
  <c r="I23" i="17" s="1"/>
  <c r="J5" i="17"/>
  <c r="B15" i="17"/>
  <c r="A15" i="17"/>
  <c r="L15" i="17" s="1"/>
  <c r="B14" i="17"/>
  <c r="A14" i="17"/>
  <c r="B13" i="17"/>
  <c r="A13" i="17"/>
  <c r="B12" i="17"/>
  <c r="A12" i="17"/>
  <c r="B11" i="17"/>
  <c r="A11" i="17"/>
  <c r="J11" i="17" s="1"/>
  <c r="B10" i="17"/>
  <c r="A10" i="17"/>
  <c r="B9" i="17"/>
  <c r="A9" i="17"/>
  <c r="B8" i="17"/>
  <c r="A8" i="17"/>
  <c r="B7" i="17"/>
  <c r="A7" i="17"/>
  <c r="B6" i="17"/>
  <c r="E6" i="17" s="1"/>
  <c r="P6" i="17" s="1"/>
  <c r="B5" i="17"/>
  <c r="E5" i="17" s="1"/>
  <c r="P5" i="17" s="1"/>
  <c r="B4" i="17"/>
  <c r="E4" i="17" s="1"/>
  <c r="P4" i="17" s="1"/>
  <c r="K22" i="16"/>
  <c r="K21" i="16"/>
  <c r="J21" i="16"/>
  <c r="I21" i="16"/>
  <c r="H21" i="16"/>
  <c r="G21" i="16"/>
  <c r="K20" i="16"/>
  <c r="J20" i="16"/>
  <c r="I20" i="16"/>
  <c r="H20" i="16"/>
  <c r="G20" i="16"/>
  <c r="K19" i="16"/>
  <c r="J19" i="16"/>
  <c r="Q8" i="16" s="1"/>
  <c r="I19" i="16"/>
  <c r="P9" i="16" s="1"/>
  <c r="H19" i="16"/>
  <c r="O8" i="16" s="1"/>
  <c r="G19" i="16"/>
  <c r="K18" i="16"/>
  <c r="J18" i="16"/>
  <c r="I18" i="16"/>
  <c r="H18" i="16"/>
  <c r="G18" i="16"/>
  <c r="K9" i="16"/>
  <c r="J9" i="16"/>
  <c r="J22" i="16" s="1"/>
  <c r="I9" i="16"/>
  <c r="I22" i="16" s="1"/>
  <c r="H9" i="16"/>
  <c r="H22" i="16" s="1"/>
  <c r="G9" i="16"/>
  <c r="G22" i="16" s="1"/>
  <c r="Q6" i="16"/>
  <c r="P6" i="16"/>
  <c r="O6" i="16"/>
  <c r="Q2" i="16"/>
  <c r="P2" i="16"/>
  <c r="O2" i="16"/>
  <c r="K20" i="10"/>
  <c r="M20" i="10" s="1"/>
  <c r="K19" i="10"/>
  <c r="M19" i="10" s="1"/>
  <c r="K18" i="10"/>
  <c r="M18" i="10" s="1"/>
  <c r="T10" i="10"/>
  <c r="D10" i="10"/>
  <c r="T9" i="10"/>
  <c r="D9" i="10"/>
  <c r="T8" i="10"/>
  <c r="D8" i="10"/>
  <c r="T7" i="10"/>
  <c r="D7" i="10"/>
  <c r="J16" i="4"/>
  <c r="H16" i="4"/>
  <c r="G16" i="4"/>
  <c r="J15" i="4"/>
  <c r="H15" i="4"/>
  <c r="G15" i="4"/>
  <c r="J14" i="4"/>
  <c r="H14" i="4"/>
  <c r="G14" i="4"/>
  <c r="J13" i="4"/>
  <c r="H13" i="4"/>
  <c r="G13" i="4"/>
  <c r="J12" i="4"/>
  <c r="H12" i="4"/>
  <c r="G12" i="4"/>
  <c r="J11" i="4"/>
  <c r="H11" i="4"/>
  <c r="G11" i="4"/>
  <c r="J10" i="4"/>
  <c r="H10" i="4"/>
  <c r="G10" i="4"/>
  <c r="J9" i="4"/>
  <c r="H9" i="4"/>
  <c r="G9" i="4"/>
  <c r="J8" i="4"/>
  <c r="H8" i="4"/>
  <c r="G8" i="4"/>
  <c r="J7" i="4"/>
  <c r="H7" i="4"/>
  <c r="G7" i="4"/>
  <c r="J3" i="4"/>
  <c r="H3" i="4"/>
  <c r="G3" i="4"/>
  <c r="H2" i="4"/>
  <c r="G2" i="4"/>
  <c r="J16" i="3"/>
  <c r="H16" i="3"/>
  <c r="G16" i="3"/>
  <c r="J15" i="3"/>
  <c r="H15" i="3"/>
  <c r="G15" i="3"/>
  <c r="J14" i="3"/>
  <c r="H14" i="3"/>
  <c r="G14" i="3"/>
  <c r="J13" i="3"/>
  <c r="H13" i="3"/>
  <c r="G13" i="3"/>
  <c r="J12" i="3"/>
  <c r="H12" i="3"/>
  <c r="G12" i="3"/>
  <c r="J11" i="3"/>
  <c r="H11" i="3"/>
  <c r="G11" i="3"/>
  <c r="J10" i="3"/>
  <c r="H10" i="3"/>
  <c r="G10" i="3"/>
  <c r="J9" i="3"/>
  <c r="H9" i="3"/>
  <c r="G9" i="3"/>
  <c r="J8" i="3"/>
  <c r="H8" i="3"/>
  <c r="G8" i="3"/>
  <c r="J7" i="3"/>
  <c r="H7" i="3"/>
  <c r="G7" i="3"/>
  <c r="J6" i="3"/>
  <c r="H6" i="3"/>
  <c r="G6" i="3"/>
  <c r="J5" i="3"/>
  <c r="H5" i="3"/>
  <c r="G5" i="3"/>
  <c r="J4" i="3"/>
  <c r="H4" i="3"/>
  <c r="G4" i="3"/>
  <c r="J3" i="3"/>
  <c r="H3" i="3"/>
  <c r="L3" i="3" s="1"/>
  <c r="G3" i="3"/>
  <c r="J2" i="3"/>
  <c r="H2" i="3"/>
  <c r="L2" i="3" s="1"/>
  <c r="G2" i="3"/>
  <c r="J11" i="2"/>
  <c r="H11" i="2"/>
  <c r="G11" i="2"/>
  <c r="J10" i="2"/>
  <c r="H10" i="2"/>
  <c r="G10" i="2"/>
  <c r="J9" i="2"/>
  <c r="H9" i="2"/>
  <c r="G9" i="2"/>
  <c r="J8" i="2"/>
  <c r="H8" i="2"/>
  <c r="G8" i="2"/>
  <c r="J7" i="2"/>
  <c r="H7" i="2"/>
  <c r="G7" i="2"/>
  <c r="J6" i="2"/>
  <c r="H6" i="2"/>
  <c r="G6" i="2"/>
  <c r="J5" i="2"/>
  <c r="H5" i="2"/>
  <c r="G5" i="2"/>
  <c r="J4" i="2"/>
  <c r="H4" i="2"/>
  <c r="G4" i="2"/>
  <c r="J3" i="2"/>
  <c r="G3" i="2"/>
  <c r="H3" i="2" s="1"/>
  <c r="J2" i="2"/>
  <c r="G2" i="2"/>
  <c r="H2" i="2" s="1"/>
  <c r="J13" i="1"/>
  <c r="H13" i="1"/>
  <c r="G13" i="1"/>
  <c r="J12" i="1"/>
  <c r="H12" i="1"/>
  <c r="G12" i="1"/>
  <c r="J11" i="1"/>
  <c r="H11" i="1"/>
  <c r="G11" i="1"/>
  <c r="J10" i="1"/>
  <c r="H10" i="1"/>
  <c r="G10" i="1"/>
  <c r="J9" i="1"/>
  <c r="H9" i="1"/>
  <c r="G9" i="1"/>
  <c r="J8" i="1"/>
  <c r="H8" i="1"/>
  <c r="G8" i="1"/>
  <c r="J7" i="1"/>
  <c r="H7" i="1"/>
  <c r="G7" i="1"/>
  <c r="J6" i="1"/>
  <c r="H6" i="1"/>
  <c r="G6" i="1"/>
  <c r="J5" i="1"/>
  <c r="H5" i="1"/>
  <c r="G5" i="1"/>
  <c r="J4" i="1"/>
  <c r="H4" i="1"/>
  <c r="G4" i="1"/>
  <c r="J3" i="1"/>
  <c r="G3" i="1"/>
  <c r="H3" i="1" s="1"/>
  <c r="J2" i="1"/>
  <c r="G2" i="1"/>
  <c r="H2" i="1" s="1"/>
  <c r="J10" i="17" l="1"/>
  <c r="C18" i="17"/>
  <c r="Q9" i="16"/>
  <c r="M2" i="4"/>
  <c r="M14" i="4"/>
  <c r="M7" i="4"/>
  <c r="M16" i="4"/>
  <c r="M10" i="4"/>
  <c r="M6" i="4"/>
  <c r="M4" i="4"/>
  <c r="M5" i="4"/>
  <c r="M3" i="4"/>
  <c r="M13" i="4"/>
  <c r="M11" i="4"/>
  <c r="M15" i="4"/>
  <c r="M9" i="4"/>
  <c r="M8" i="4"/>
  <c r="M12" i="4"/>
  <c r="P8" i="16"/>
  <c r="E7" i="17"/>
  <c r="O9" i="16"/>
  <c r="J12" i="17"/>
  <c r="I60" i="17"/>
  <c r="L9" i="17"/>
  <c r="E10" i="17"/>
  <c r="L10" i="17"/>
  <c r="L7" i="17"/>
  <c r="I33" i="17" s="1"/>
  <c r="E8" i="17"/>
  <c r="J15" i="17"/>
  <c r="M15" i="17"/>
  <c r="N15" i="17" s="1"/>
  <c r="L12" i="17"/>
  <c r="E9" i="17"/>
  <c r="L13" i="17"/>
  <c r="J8" i="17"/>
  <c r="L8" i="17"/>
  <c r="E12" i="17"/>
  <c r="J13" i="17"/>
  <c r="M13" i="17"/>
  <c r="J7" i="17"/>
  <c r="L11" i="17"/>
  <c r="J14" i="17"/>
  <c r="M14" i="17"/>
  <c r="N14" i="17" s="1"/>
  <c r="L14" i="17"/>
  <c r="E14" i="17"/>
  <c r="J9" i="17"/>
  <c r="E13" i="17"/>
  <c r="E15" i="17"/>
  <c r="E11" i="17"/>
  <c r="P8" i="17" l="1"/>
  <c r="AB9" i="10"/>
  <c r="P9" i="17"/>
  <c r="AE9" i="10"/>
  <c r="P12" i="17"/>
  <c r="AF9" i="10"/>
  <c r="P14" i="17"/>
  <c r="AD9" i="10"/>
  <c r="P15" i="17"/>
  <c r="AG9" i="10"/>
  <c r="P10" i="17"/>
  <c r="Z9" i="10"/>
  <c r="P7" i="17"/>
  <c r="Y9" i="10"/>
  <c r="P11" i="17"/>
  <c r="AC9" i="10"/>
  <c r="P13" i="17"/>
  <c r="AA9" i="10"/>
  <c r="I63" i="17"/>
  <c r="I61" i="17"/>
  <c r="I64" i="17" s="1"/>
  <c r="F61" i="17"/>
  <c r="G11" i="17"/>
  <c r="F60" i="17"/>
  <c r="G10" i="17"/>
  <c r="F62" i="17"/>
  <c r="G12" i="17"/>
  <c r="I27" i="17"/>
  <c r="I32" i="17"/>
  <c r="N13" i="17"/>
  <c r="I34" i="17"/>
  <c r="Z10" i="10" l="1"/>
  <c r="Z8" i="10"/>
  <c r="AR8" i="10" s="1"/>
  <c r="AR9" i="10"/>
  <c r="BF9" i="10" s="1"/>
  <c r="BF8" i="10" s="1"/>
  <c r="BF10" i="10" s="1"/>
  <c r="AD8" i="10"/>
  <c r="AW8" i="10" s="1"/>
  <c r="AW9" i="10"/>
  <c r="BK9" i="10" s="1"/>
  <c r="BK8" i="10" s="1"/>
  <c r="AA8" i="10"/>
  <c r="AV8" i="10" s="1"/>
  <c r="AV9" i="10"/>
  <c r="BJ9" i="10" s="1"/>
  <c r="BJ8" i="10" s="1"/>
  <c r="AB8" i="10"/>
  <c r="AO8" i="10" s="1"/>
  <c r="AO9" i="10"/>
  <c r="BC9" i="10" s="1"/>
  <c r="BC8" i="10" s="1"/>
  <c r="AC10" i="10"/>
  <c r="AC8" i="10"/>
  <c r="AS8" i="10" s="1"/>
  <c r="AS9" i="10"/>
  <c r="BG9" i="10" s="1"/>
  <c r="BG8" i="10" s="1"/>
  <c r="BG10" i="10" s="1"/>
  <c r="Y8" i="10"/>
  <c r="AN8" i="10" s="1"/>
  <c r="AN9" i="10"/>
  <c r="BB9" i="10" s="1"/>
  <c r="BB8" i="10" s="1"/>
  <c r="AE8" i="10" l="1"/>
  <c r="AP8" i="10"/>
  <c r="AP9" i="10"/>
  <c r="BD9" i="10"/>
  <c r="BD8" i="10" s="1"/>
  <c r="AF8" i="10"/>
  <c r="AT8" i="10" s="1"/>
  <c r="AT9" i="10"/>
  <c r="BH9" i="10"/>
  <c r="BH8" i="10" s="1"/>
  <c r="BH10" i="10" s="1"/>
  <c r="AF10" i="10"/>
  <c r="AG8" i="10"/>
  <c r="AX8" i="10" s="1"/>
  <c r="AX9" i="10"/>
  <c r="BL9" i="10"/>
  <c r="BL8" i="10" s="1"/>
  <c r="AH8" i="10"/>
  <c r="AI8" i="10"/>
  <c r="AJ8" i="10"/>
  <c r="AQ8" i="10"/>
  <c r="AU8" i="10"/>
  <c r="AY8" i="10"/>
  <c r="BE8" i="10"/>
  <c r="BI8" i="10"/>
  <c r="BM8" i="10"/>
  <c r="AH9" i="10"/>
  <c r="AI9" i="10"/>
  <c r="AJ9" i="10"/>
  <c r="AQ9" i="10"/>
  <c r="AU9" i="10"/>
  <c r="AY9" i="10"/>
  <c r="BE9" i="10"/>
  <c r="BI9" i="10"/>
  <c r="BM9" i="10"/>
  <c r="AI10" i="10"/>
  <c r="BI10" i="1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G59" authorId="0" shapeId="0" xr:uid="{00000000-0006-0000-0900-000001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Battery size:
kWh = 1.79 X miles</t>
        </r>
      </text>
    </comment>
  </commentList>
</comments>
</file>

<file path=xl/sharedStrings.xml><?xml version="1.0" encoding="utf-8"?>
<sst xmlns="http://schemas.openxmlformats.org/spreadsheetml/2006/main" count="688" uniqueCount="370">
  <si>
    <t>Diesel-ICEV</t>
  </si>
  <si>
    <t>HFCT-Mix</t>
  </si>
  <si>
    <t>Fuel production</t>
  </si>
  <si>
    <t>Fuel transport&amp;delivery</t>
  </si>
  <si>
    <t>Truck production&amp;Use&amp;Recycling</t>
  </si>
  <si>
    <t>WTW</t>
  </si>
  <si>
    <t>LCE</t>
  </si>
  <si>
    <t>gCO2eq/km</t>
  </si>
  <si>
    <t>gCO2eq/ton*km</t>
  </si>
  <si>
    <t>SD</t>
  </si>
  <si>
    <t>Battery Production</t>
  </si>
  <si>
    <t>BEV-300 Miles</t>
  </si>
  <si>
    <t>BEV(300miles)</t>
  </si>
  <si>
    <t>BEV(600miles)</t>
  </si>
  <si>
    <t>BEV(900miles)</t>
  </si>
  <si>
    <t>Coal gasification-GH2-400KM</t>
  </si>
  <si>
    <t>Elec-grid powerGH2-400KM</t>
  </si>
  <si>
    <t>By product COG-GH2-400KM</t>
  </si>
  <si>
    <t>SMR-GH2-400KM</t>
  </si>
  <si>
    <t>By product chlor-alkali-GH2-400KM</t>
  </si>
  <si>
    <t>Elec-wind-GH2-400KM</t>
  </si>
  <si>
    <t>HFCV-Scenario1</t>
  </si>
  <si>
    <t>HFCV-Scenario2</t>
  </si>
  <si>
    <t>HFCV-Scenario3</t>
  </si>
  <si>
    <t>Elec-grid power-GH2-400KM</t>
  </si>
  <si>
    <t>Biomass to H2-GH2-400KM</t>
  </si>
  <si>
    <t>TTW</t>
  </si>
  <si>
    <t xml:space="preserve"> </t>
  </si>
  <si>
    <t>Diesel-Super Truck</t>
  </si>
  <si>
    <t>E-fuel-Super Truck</t>
  </si>
  <si>
    <t>E-fuel-ICEV</t>
  </si>
  <si>
    <t>HET - D</t>
  </si>
  <si>
    <t>HET - LCF</t>
  </si>
  <si>
    <r>
      <t>FCT - 
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Supply Scenario 1</t>
    </r>
  </si>
  <si>
    <r>
      <t>FCT - 
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Supply Scenario 2</t>
    </r>
    <r>
      <rPr>
        <sz val="11"/>
        <color theme="1"/>
        <rFont val="Calibri"/>
        <family val="2"/>
        <scheme val="minor"/>
      </rPr>
      <t/>
    </r>
  </si>
  <si>
    <r>
      <t>FCT - 
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Supply Scenario 3</t>
    </r>
    <r>
      <rPr>
        <sz val="11"/>
        <color theme="1"/>
        <rFont val="Calibri"/>
        <family val="2"/>
        <scheme val="minor"/>
      </rPr>
      <t/>
    </r>
  </si>
  <si>
    <t xml:space="preserve">BET </t>
  </si>
  <si>
    <t>Diesel</t>
  </si>
  <si>
    <t>Electrolysis - grid av.</t>
  </si>
  <si>
    <t>Coal gas.</t>
  </si>
  <si>
    <t>Byproduct COG</t>
  </si>
  <si>
    <t>Byproduct chlor-alkali</t>
  </si>
  <si>
    <t>SMR</t>
  </si>
  <si>
    <t>Biomass to H2</t>
  </si>
  <si>
    <t>Electrolysis - Wind</t>
  </si>
  <si>
    <t>Battery production</t>
  </si>
  <si>
    <t>Fuel transport &amp; delivery</t>
  </si>
  <si>
    <t>High-efficiency truck</t>
  </si>
  <si>
    <t>Low-carbon fuel</t>
  </si>
  <si>
    <t>Battery electric truck</t>
  </si>
  <si>
    <t>Fuel cell truck</t>
  </si>
  <si>
    <t>Stated Policy Scenario</t>
  </si>
  <si>
    <t>Current Policy Scenario</t>
  </si>
  <si>
    <t>Coal</t>
  </si>
  <si>
    <t>Oil</t>
  </si>
  <si>
    <t>Nuclear</t>
  </si>
  <si>
    <t>Renewables</t>
  </si>
  <si>
    <t>Natural Gas</t>
  </si>
  <si>
    <t>Hydro</t>
  </si>
  <si>
    <t>Bioenergy</t>
  </si>
  <si>
    <t>Wind</t>
  </si>
  <si>
    <t>Geothermal</t>
  </si>
  <si>
    <t>Solar PV</t>
  </si>
  <si>
    <t>CSP</t>
  </si>
  <si>
    <t>Marine</t>
  </si>
  <si>
    <t>Sustainable Development Scenario</t>
  </si>
  <si>
    <t>Total</t>
  </si>
  <si>
    <t>300 miles</t>
  </si>
  <si>
    <t>600 miles</t>
  </si>
  <si>
    <t>Electricity generation</t>
  </si>
  <si>
    <t>Vehicle manufacturing, maintenance &amp; recycling</t>
  </si>
  <si>
    <t>BEV (SP Scenario) - 150miles</t>
  </si>
  <si>
    <t>BEV (CP Scenario) - 150miles</t>
  </si>
  <si>
    <t>BEV (SD Scenario) - 150miles</t>
  </si>
  <si>
    <t>BET 
(IEA SPS)</t>
  </si>
  <si>
    <t>BET 
(IEA CPS)</t>
  </si>
  <si>
    <t>BET 
(IEA SDS)</t>
  </si>
  <si>
    <t>Energy production</t>
  </si>
  <si>
    <t>Truck production &amp; recycling</t>
  </si>
  <si>
    <t>BEV(150miles)</t>
  </si>
  <si>
    <t>150 miles</t>
  </si>
  <si>
    <t>gCO2eq/ton-km</t>
  </si>
  <si>
    <t>BET - gCO2eq/ton-km</t>
  </si>
  <si>
    <t>HET</t>
  </si>
  <si>
    <t>BET</t>
  </si>
  <si>
    <t>FCT</t>
  </si>
  <si>
    <t>Payload (tonnes)</t>
  </si>
  <si>
    <t>Battery electric 
truck</t>
  </si>
  <si>
    <t>China grid mix: IEA SPS</t>
  </si>
  <si>
    <t>China grid mix: IEA CPS</t>
  </si>
  <si>
    <t>China grid mix: IEA SDS</t>
  </si>
  <si>
    <t>China H2 Mix 1</t>
  </si>
  <si>
    <t>China H2 Mix 2</t>
  </si>
  <si>
    <t>China H2 Mix 3</t>
  </si>
  <si>
    <t>Combustion</t>
  </si>
  <si>
    <t>Total Life Cycle Emissions</t>
  </si>
  <si>
    <t>Electricity</t>
  </si>
  <si>
    <t>Scenario 1</t>
  </si>
  <si>
    <t>Scenario 3</t>
  </si>
  <si>
    <t>Scenario 2</t>
  </si>
  <si>
    <t>Hydrogen</t>
  </si>
  <si>
    <t>Fuel Cell Truck</t>
  </si>
  <si>
    <t>Vehicle manufacturing</t>
  </si>
  <si>
    <t>Recycling</t>
  </si>
  <si>
    <t>ton CO2eq</t>
  </si>
  <si>
    <t>Battery size (kWh)</t>
  </si>
  <si>
    <t>Diesel truck</t>
  </si>
  <si>
    <t>Electric truck</t>
  </si>
  <si>
    <t>Battery size (kg)</t>
  </si>
  <si>
    <t>Net GHG</t>
  </si>
  <si>
    <t>EP (pack energy)</t>
  </si>
  <si>
    <t>Diesel Truck 2016 (150 miles)</t>
  </si>
  <si>
    <t>Diesel Truck 2016 (300 miles)</t>
  </si>
  <si>
    <t>Diesel Truck 2016 (600 miles)</t>
  </si>
  <si>
    <t>Diesel-Super Truck (150 miles)</t>
  </si>
  <si>
    <t>Diesel-Super Truck (300 miles)</t>
  </si>
  <si>
    <t>Diesel-Super Truck (600 miles)</t>
  </si>
  <si>
    <t>BEV(300miles</t>
  </si>
  <si>
    <t>HFCV(150miles)</t>
  </si>
  <si>
    <t>HFCV(300miles)</t>
  </si>
  <si>
    <t>HFCV(600miles)</t>
  </si>
  <si>
    <t>km</t>
  </si>
  <si>
    <t>Payload (ton)</t>
  </si>
  <si>
    <t>kWh</t>
  </si>
  <si>
    <t>Wh/ton*km</t>
  </si>
  <si>
    <t>Battery density (Wh/kg)</t>
  </si>
  <si>
    <t>CI of battery (kgCO2/kWh)</t>
  </si>
  <si>
    <t>CI of battery (kgCO2/kg)</t>
  </si>
  <si>
    <t>ton-km/L-of-diesel-eq</t>
  </si>
  <si>
    <t>ton-miles/gallon</t>
  </si>
  <si>
    <t>MPG</t>
  </si>
  <si>
    <t>2030 HET - Diesel</t>
  </si>
  <si>
    <t>2016 HDT - Diesel</t>
  </si>
  <si>
    <t>This study</t>
  </si>
  <si>
    <t>L-diesel-eq/100tkm</t>
  </si>
  <si>
    <t>L-diesel-eq/100km</t>
  </si>
  <si>
    <t>kgH2/100km</t>
  </si>
  <si>
    <t>Miles/kgH2</t>
  </si>
  <si>
    <t>L/100km</t>
  </si>
  <si>
    <t>Delgado et al. [1]</t>
  </si>
  <si>
    <t>Roche et al. [17]</t>
  </si>
  <si>
    <t>Breemersch et al. [26]</t>
  </si>
  <si>
    <t>KBA [9]</t>
  </si>
  <si>
    <t>Süßmann et al. [2]</t>
  </si>
  <si>
    <t>Dünnebeil et al. [3]</t>
  </si>
  <si>
    <t>ACEA [6]</t>
  </si>
  <si>
    <t>Omnibus et al. [27]</t>
  </si>
  <si>
    <t>Delgado et al. [7]</t>
  </si>
  <si>
    <t>NACFE [54]</t>
  </si>
  <si>
    <t>FHWA [55]</t>
  </si>
  <si>
    <t>US DOE SuperTruck-1</t>
  </si>
  <si>
    <t>US DOE SuperTruck-2</t>
  </si>
  <si>
    <t>2030 HET- Diesel</t>
  </si>
  <si>
    <t>2030 FCT-H2</t>
  </si>
  <si>
    <t>US DOE</t>
  </si>
  <si>
    <t>kg-H2/100km</t>
  </si>
  <si>
    <t>Liters of diesel/100km</t>
  </si>
  <si>
    <t>Lower range</t>
  </si>
  <si>
    <t>Upper range</t>
  </si>
  <si>
    <t>Miles per gallon</t>
  </si>
  <si>
    <t>miles</t>
  </si>
  <si>
    <t>150 miles (240 km)</t>
  </si>
  <si>
    <t>300 miles (480 km)</t>
  </si>
  <si>
    <t>600 miles (960 km)</t>
  </si>
  <si>
    <t>Electric consumption</t>
  </si>
  <si>
    <t>ORNL Estimate [56]</t>
  </si>
  <si>
    <t>ORNL estimated range [56]</t>
  </si>
  <si>
    <t>Empty vehicle weight</t>
  </si>
  <si>
    <t>Payload</t>
  </si>
  <si>
    <t>Energy pack weight (i.e., diesel, battery, hydrogen)</t>
  </si>
  <si>
    <t>900 miles</t>
  </si>
  <si>
    <t>Bin</t>
  </si>
  <si>
    <t>27-34</t>
  </si>
  <si>
    <t>35-39</t>
  </si>
  <si>
    <t>49 &lt;</t>
  </si>
  <si>
    <t>GVW</t>
  </si>
  <si>
    <t>Maximum payload (tonne)</t>
  </si>
  <si>
    <t>BET - range</t>
  </si>
  <si>
    <t>Battery weight (tonne)</t>
  </si>
  <si>
    <t>China grid mix: 
IEA SPS</t>
  </si>
  <si>
    <t>China grid mix: 
IEA CPS</t>
  </si>
  <si>
    <t>China grid mix: 
IEA SDS</t>
  </si>
  <si>
    <t>China 
H2 Mix 1</t>
  </si>
  <si>
    <t>China 
H2 Mix 2</t>
  </si>
  <si>
    <t>China 
H2 Mix 3</t>
  </si>
  <si>
    <t>Low-carbon 
fuel</t>
  </si>
  <si>
    <t>Reduction in maximum payload (tonne)</t>
  </si>
  <si>
    <t>Pack Energy (Wh/ton-km)</t>
  </si>
  <si>
    <t>BET(150miles)</t>
  </si>
  <si>
    <t>BET(300miles)</t>
  </si>
  <si>
    <t>BET(600miles)</t>
  </si>
  <si>
    <t>China HFCT</t>
  </si>
  <si>
    <t>fossil CCU</t>
  </si>
  <si>
    <t>References</t>
  </si>
  <si>
    <t>Source of CO2</t>
  </si>
  <si>
    <t>Conversion process</t>
  </si>
  <si>
    <t>FTS</t>
  </si>
  <si>
    <t>DAC (with oxy-fired calciner)</t>
  </si>
  <si>
    <t>DAC (with electric calciner)</t>
  </si>
  <si>
    <t>Ethanol plants</t>
  </si>
  <si>
    <t>Electricity assumptions</t>
  </si>
  <si>
    <t>Wind/solar</t>
  </si>
  <si>
    <t>FTS (integrated with ethanol plant, with hydrogen recycle)</t>
  </si>
  <si>
    <t>Low CI grid (e.g., British Columbia or Quebec in Canada)</t>
  </si>
  <si>
    <t>FTS (stand-alone plant, with hydrogen recycle)</t>
  </si>
  <si>
    <t xml:space="preserve">Carbon intensity of synthetic fuel </t>
  </si>
  <si>
    <t>Generation Source</t>
  </si>
  <si>
    <t>kWh/km</t>
  </si>
  <si>
    <t>kWh/mile</t>
  </si>
  <si>
    <t>gCO2/MJ</t>
  </si>
  <si>
    <t>Diesel Fuels CI</t>
  </si>
  <si>
    <t>e-Fuels CI</t>
  </si>
  <si>
    <t>Use-phase maintenance</t>
  </si>
  <si>
    <t>Maintenance</t>
  </si>
  <si>
    <t>Class-8 HDT in China (Year 2030)</t>
  </si>
  <si>
    <t>HET-D</t>
  </si>
  <si>
    <t>HET-LCF</t>
  </si>
  <si>
    <t>Fuel/Energy</t>
  </si>
  <si>
    <t>Electric</t>
  </si>
  <si>
    <t>Powertrain</t>
  </si>
  <si>
    <t>High-efficiency combustion engine truck</t>
  </si>
  <si>
    <t>China power generation mix in 2030</t>
  </si>
  <si>
    <t>China hydrogen supplies in 2030</t>
  </si>
  <si>
    <t>Coal gasification</t>
  </si>
  <si>
    <t>Steam methane reforming (SMR)</t>
  </si>
  <si>
    <t>By product of chlor-alkali</t>
  </si>
  <si>
    <t>By product of coke oven gas</t>
  </si>
  <si>
    <t>Alkaline water electrolysis - Wind power</t>
  </si>
  <si>
    <r>
      <rPr>
        <b/>
        <sz val="11"/>
        <color theme="1"/>
        <rFont val="Calibri"/>
        <family val="2"/>
        <scheme val="minor"/>
      </rPr>
      <t>Table 4</t>
    </r>
    <r>
      <rPr>
        <sz val="11"/>
        <color theme="1"/>
        <rFont val="Calibri"/>
        <family val="2"/>
        <scheme val="minor"/>
      </rPr>
      <t xml:space="preserve"> Carbon intensity values adopted for the different energy types.</t>
    </r>
  </si>
  <si>
    <t>Energy life cycle</t>
  </si>
  <si>
    <t>Carbon intensity (unit)</t>
  </si>
  <si>
    <t>Remarks</t>
  </si>
  <si>
    <t>Fuels productions</t>
  </si>
  <si>
    <t>Crude oil refining</t>
  </si>
  <si>
    <r>
      <t>gCO2</t>
    </r>
    <r>
      <rPr>
        <vertAlign val="subscript"/>
        <sz val="11"/>
        <color theme="1"/>
        <rFont val="Calibri"/>
        <family val="2"/>
        <scheme val="minor"/>
      </rPr>
      <t>eq</t>
    </r>
    <r>
      <rPr>
        <sz val="11"/>
        <color theme="1"/>
        <rFont val="Calibri"/>
        <family val="2"/>
        <scheme val="minor"/>
      </rPr>
      <t>/MJ</t>
    </r>
  </si>
  <si>
    <t>(Well-to-tank, WTT)</t>
  </si>
  <si>
    <t>DAC (rWGS &amp; FTS)</t>
  </si>
  <si>
    <t>Low-carbon synthetic diesel</t>
  </si>
  <si>
    <t>(Well-to-Wheels, WTW)</t>
  </si>
  <si>
    <t>Electricity generations</t>
  </si>
  <si>
    <t>China 2030 Power Generation Mix (IEA SPS)</t>
  </si>
  <si>
    <r>
      <t>gCO2</t>
    </r>
    <r>
      <rPr>
        <vertAlign val="subscript"/>
        <sz val="11"/>
        <color theme="1"/>
        <rFont val="Calibri"/>
        <family val="2"/>
        <scheme val="minor"/>
      </rPr>
      <t>eq</t>
    </r>
    <r>
      <rPr>
        <sz val="11"/>
        <color theme="1"/>
        <rFont val="Calibri"/>
        <family val="2"/>
        <scheme val="minor"/>
      </rPr>
      <t>/kWh</t>
    </r>
  </si>
  <si>
    <t>China 2030 Power Generation Mix (IEA CPS)</t>
  </si>
  <si>
    <t>China 2030 Power Generation Mix (IEA NPS)</t>
  </si>
  <si>
    <t>Hydrogen productions</t>
  </si>
  <si>
    <r>
      <t>kgCO2</t>
    </r>
    <r>
      <rPr>
        <vertAlign val="subscript"/>
        <sz val="11"/>
        <color theme="1"/>
        <rFont val="Calibri"/>
        <family val="2"/>
        <scheme val="minor"/>
      </rPr>
      <t>eq</t>
    </r>
    <r>
      <rPr>
        <sz val="11"/>
        <color theme="1"/>
        <rFont val="Calibri"/>
        <family val="2"/>
        <scheme val="minor"/>
      </rPr>
      <t>/kg-h</t>
    </r>
    <r>
      <rPr>
        <vertAlign val="subscript"/>
        <sz val="11"/>
        <color theme="1"/>
        <rFont val="Calibri"/>
        <family val="2"/>
        <scheme val="minor"/>
      </rPr>
      <t>2</t>
    </r>
  </si>
  <si>
    <t>By-product coke oven gas</t>
  </si>
  <si>
    <t>Biomass (Corn stover) - gasification &amp; WGS reaction</t>
  </si>
  <si>
    <t>Alkaline water electrolysis using average grid electricity in China in 2030.</t>
  </si>
  <si>
    <t>Alkaline water electrolysis using wind-generated electricity</t>
  </si>
  <si>
    <t>Steam methane reforming of natural gas</t>
  </si>
  <si>
    <t>By-product chlor-alkali</t>
  </si>
  <si>
    <t>Allocation by mass</t>
  </si>
  <si>
    <r>
      <t>Table S2</t>
    </r>
    <r>
      <rPr>
        <sz val="12"/>
        <color rgb="FF000000"/>
        <rFont val="Calibri"/>
        <family val="2"/>
        <scheme val="minor"/>
      </rPr>
      <t xml:space="preserve"> A summary of literature on the carbon intensities of synthetic electrofuels and key underlying assumptions.   </t>
    </r>
  </si>
  <si>
    <r>
      <t>gCO</t>
    </r>
    <r>
      <rPr>
        <b/>
        <vertAlign val="subscript"/>
        <sz val="12"/>
        <color rgb="FF000000"/>
        <rFont val="Calibri"/>
        <family val="2"/>
        <scheme val="minor"/>
      </rPr>
      <t>2eq</t>
    </r>
    <r>
      <rPr>
        <b/>
        <sz val="12"/>
        <color rgb="FF000000"/>
        <rFont val="Calibri"/>
        <family val="2"/>
        <scheme val="minor"/>
      </rPr>
      <t>/MJ</t>
    </r>
  </si>
  <si>
    <r>
      <t>gCO</t>
    </r>
    <r>
      <rPr>
        <b/>
        <vertAlign val="subscript"/>
        <sz val="12"/>
        <color rgb="FF000000"/>
        <rFont val="Calibri"/>
        <family val="2"/>
        <scheme val="minor"/>
      </rPr>
      <t>2eq</t>
    </r>
    <r>
      <rPr>
        <b/>
        <sz val="12"/>
        <color rgb="FF000000"/>
        <rFont val="Calibri"/>
        <family val="2"/>
        <scheme val="minor"/>
      </rPr>
      <t>/kWh</t>
    </r>
  </si>
  <si>
    <r>
      <t xml:space="preserve">Ueckerdt et al. (2021) </t>
    </r>
    <r>
      <rPr>
        <i/>
        <vertAlign val="superscript"/>
        <sz val="12"/>
        <color rgb="FF000000"/>
        <rFont val="Calibri"/>
        <family val="2"/>
        <scheme val="minor"/>
      </rPr>
      <t>1</t>
    </r>
  </si>
  <si>
    <t>DAC</t>
  </si>
  <si>
    <r>
      <t xml:space="preserve">Liu et al. (2020) </t>
    </r>
    <r>
      <rPr>
        <i/>
        <vertAlign val="superscript"/>
        <sz val="12"/>
        <color rgb="FF000000"/>
        <rFont val="Calibri"/>
        <family val="2"/>
        <scheme val="minor"/>
      </rPr>
      <t>2</t>
    </r>
  </si>
  <si>
    <r>
      <t xml:space="preserve">Zang et al. (2021) </t>
    </r>
    <r>
      <rPr>
        <i/>
        <vertAlign val="superscript"/>
        <sz val="12"/>
        <color rgb="FF000000"/>
        <rFont val="Calibri"/>
        <family val="2"/>
        <scheme val="minor"/>
      </rPr>
      <t>3</t>
    </r>
  </si>
  <si>
    <r>
      <t>Table S3</t>
    </r>
    <r>
      <rPr>
        <sz val="12"/>
        <color theme="1"/>
        <rFont val="Calibri"/>
        <family val="2"/>
        <scheme val="minor"/>
      </rPr>
      <t xml:space="preserve"> Summary of literature review for key input parameters to equation 2 and 3.</t>
    </r>
  </si>
  <si>
    <t>Parameters</t>
  </si>
  <si>
    <t>Value</t>
  </si>
  <si>
    <t>Reference</t>
  </si>
  <si>
    <t>Year</t>
  </si>
  <si>
    <t>Empty vehicle weight / ton</t>
  </si>
  <si>
    <r>
      <t xml:space="preserve">Delgado et al. </t>
    </r>
    <r>
      <rPr>
        <vertAlign val="superscript"/>
        <sz val="12"/>
        <color theme="1"/>
        <rFont val="Calibri"/>
        <family val="2"/>
      </rPr>
      <t>4</t>
    </r>
  </si>
  <si>
    <r>
      <t xml:space="preserve">Süßmann et al. </t>
    </r>
    <r>
      <rPr>
        <vertAlign val="superscript"/>
        <sz val="12"/>
        <color theme="1"/>
        <rFont val="Calibri"/>
        <family val="2"/>
      </rPr>
      <t>5</t>
    </r>
  </si>
  <si>
    <r>
      <t xml:space="preserve">Dünnebeil et al. </t>
    </r>
    <r>
      <rPr>
        <vertAlign val="superscript"/>
        <sz val="12"/>
        <color theme="1"/>
        <rFont val="Calibri"/>
        <family val="2"/>
      </rPr>
      <t>6</t>
    </r>
  </si>
  <si>
    <r>
      <t xml:space="preserve">Hill et al. </t>
    </r>
    <r>
      <rPr>
        <vertAlign val="superscript"/>
        <sz val="12"/>
        <color theme="1"/>
        <rFont val="Calibri"/>
        <family val="2"/>
      </rPr>
      <t>7</t>
    </r>
  </si>
  <si>
    <r>
      <t xml:space="preserve">Žnidarič et al. </t>
    </r>
    <r>
      <rPr>
        <vertAlign val="superscript"/>
        <sz val="12"/>
        <color theme="1"/>
        <rFont val="Calibri"/>
        <family val="2"/>
      </rPr>
      <t>8</t>
    </r>
  </si>
  <si>
    <r>
      <t xml:space="preserve">ACEA </t>
    </r>
    <r>
      <rPr>
        <vertAlign val="superscript"/>
        <sz val="12"/>
        <color theme="1"/>
        <rFont val="Calibri"/>
        <family val="2"/>
      </rPr>
      <t>9</t>
    </r>
  </si>
  <si>
    <r>
      <t xml:space="preserve">Delgado et al. </t>
    </r>
    <r>
      <rPr>
        <vertAlign val="superscript"/>
        <sz val="12"/>
        <color theme="1"/>
        <rFont val="Calibri"/>
        <family val="2"/>
      </rPr>
      <t>10</t>
    </r>
  </si>
  <si>
    <r>
      <t xml:space="preserve">Meszler et al. </t>
    </r>
    <r>
      <rPr>
        <vertAlign val="superscript"/>
        <sz val="12"/>
        <color theme="1"/>
        <rFont val="Calibri"/>
        <family val="2"/>
      </rPr>
      <t>11</t>
    </r>
  </si>
  <si>
    <r>
      <t>Front area of the vehicle / m</t>
    </r>
    <r>
      <rPr>
        <vertAlign val="superscript"/>
        <sz val="12"/>
        <color theme="1"/>
        <rFont val="Calibri"/>
        <family val="2"/>
      </rPr>
      <t>2</t>
    </r>
  </si>
  <si>
    <t>Efficiency of internal combustion engine / %</t>
  </si>
  <si>
    <r>
      <t xml:space="preserve">KBA </t>
    </r>
    <r>
      <rPr>
        <vertAlign val="superscript"/>
        <sz val="12"/>
        <color theme="1"/>
        <rFont val="Calibri"/>
        <family val="2"/>
      </rPr>
      <t>12</t>
    </r>
  </si>
  <si>
    <r>
      <t xml:space="preserve">Engström et al. </t>
    </r>
    <r>
      <rPr>
        <vertAlign val="superscript"/>
        <sz val="12"/>
        <color theme="1"/>
        <rFont val="Calibri"/>
        <family val="2"/>
      </rPr>
      <t>13</t>
    </r>
  </si>
  <si>
    <r>
      <t xml:space="preserve">Mercedes-Benz </t>
    </r>
    <r>
      <rPr>
        <vertAlign val="superscript"/>
        <sz val="12"/>
        <color theme="1"/>
        <rFont val="Calibri"/>
        <family val="2"/>
      </rPr>
      <t>14</t>
    </r>
  </si>
  <si>
    <t>Coefficient of rolling resistance / N/kN</t>
  </si>
  <si>
    <r>
      <t xml:space="preserve">Stenvall et al. </t>
    </r>
    <r>
      <rPr>
        <vertAlign val="superscript"/>
        <sz val="12"/>
        <color theme="1"/>
        <rFont val="Calibri"/>
        <family val="2"/>
      </rPr>
      <t>15</t>
    </r>
  </si>
  <si>
    <r>
      <t xml:space="preserve">Raja et al. </t>
    </r>
    <r>
      <rPr>
        <vertAlign val="superscript"/>
        <sz val="12"/>
        <color theme="1"/>
        <rFont val="Calibri"/>
        <family val="2"/>
      </rPr>
      <t>16</t>
    </r>
  </si>
  <si>
    <r>
      <t xml:space="preserve">Hausberger et al. </t>
    </r>
    <r>
      <rPr>
        <vertAlign val="superscript"/>
        <sz val="12"/>
        <color theme="1"/>
        <rFont val="Calibri"/>
        <family val="2"/>
      </rPr>
      <t>17</t>
    </r>
  </si>
  <si>
    <r>
      <t xml:space="preserve">Hill et al. </t>
    </r>
    <r>
      <rPr>
        <vertAlign val="superscript"/>
        <sz val="12"/>
        <color theme="1"/>
        <rFont val="Calibri"/>
        <family val="2"/>
      </rPr>
      <t>18</t>
    </r>
  </si>
  <si>
    <r>
      <t xml:space="preserve">Schulte et al. </t>
    </r>
    <r>
      <rPr>
        <vertAlign val="superscript"/>
        <sz val="12"/>
        <color theme="1"/>
        <rFont val="Calibri"/>
        <family val="2"/>
      </rPr>
      <t>19</t>
    </r>
  </si>
  <si>
    <r>
      <t xml:space="preserve">Roche et al. </t>
    </r>
    <r>
      <rPr>
        <vertAlign val="superscript"/>
        <sz val="12"/>
        <color theme="1"/>
        <rFont val="Calibri"/>
        <family val="2"/>
      </rPr>
      <t>20</t>
    </r>
  </si>
  <si>
    <r>
      <t xml:space="preserve">Dünnebeil et al. </t>
    </r>
    <r>
      <rPr>
        <vertAlign val="superscript"/>
        <sz val="12"/>
        <color theme="1"/>
        <rFont val="Calibri"/>
        <family val="2"/>
      </rPr>
      <t>21</t>
    </r>
  </si>
  <si>
    <r>
      <t xml:space="preserve">Knibb et al. </t>
    </r>
    <r>
      <rPr>
        <vertAlign val="superscript"/>
        <sz val="12"/>
        <color theme="1"/>
        <rFont val="Calibri"/>
        <family val="2"/>
      </rPr>
      <t>22</t>
    </r>
  </si>
  <si>
    <r>
      <t xml:space="preserve">VECTO </t>
    </r>
    <r>
      <rPr>
        <vertAlign val="superscript"/>
        <sz val="12"/>
        <color theme="1"/>
        <rFont val="Calibri"/>
        <family val="2"/>
      </rPr>
      <t>23</t>
    </r>
  </si>
  <si>
    <r>
      <t xml:space="preserve">Viegand et al. </t>
    </r>
    <r>
      <rPr>
        <vertAlign val="superscript"/>
        <sz val="12"/>
        <color theme="1"/>
        <rFont val="Calibri"/>
        <family val="2"/>
      </rPr>
      <t>24</t>
    </r>
  </si>
  <si>
    <t>Coefficient of aerodynamic drag</t>
  </si>
  <si>
    <r>
      <t xml:space="preserve">Håkansson et al. </t>
    </r>
    <r>
      <rPr>
        <vertAlign val="superscript"/>
        <sz val="12"/>
        <color theme="1"/>
        <rFont val="Calibri"/>
        <family val="2"/>
      </rPr>
      <t>25</t>
    </r>
  </si>
  <si>
    <r>
      <t xml:space="preserve">Frasquet et al. </t>
    </r>
    <r>
      <rPr>
        <vertAlign val="superscript"/>
        <sz val="12"/>
        <color theme="1"/>
        <rFont val="Calibri"/>
        <family val="2"/>
      </rPr>
      <t>26</t>
    </r>
  </si>
  <si>
    <r>
      <t xml:space="preserve">Salati et al. </t>
    </r>
    <r>
      <rPr>
        <vertAlign val="superscript"/>
        <sz val="12"/>
        <color theme="1"/>
        <rFont val="Calibri"/>
        <family val="2"/>
      </rPr>
      <t>27</t>
    </r>
  </si>
  <si>
    <r>
      <t xml:space="preserve">Ekman et al. </t>
    </r>
    <r>
      <rPr>
        <vertAlign val="superscript"/>
        <sz val="12"/>
        <color theme="1"/>
        <rFont val="Calibri"/>
        <family val="2"/>
      </rPr>
      <t>28</t>
    </r>
  </si>
  <si>
    <t>0..76</t>
  </si>
  <si>
    <t>Fuel economy / mpg</t>
  </si>
  <si>
    <r>
      <t xml:space="preserve">Breemersch et al. </t>
    </r>
    <r>
      <rPr>
        <vertAlign val="superscript"/>
        <sz val="12"/>
        <color theme="1"/>
        <rFont val="Calibri"/>
        <family val="2"/>
      </rPr>
      <t>29</t>
    </r>
  </si>
  <si>
    <r>
      <t xml:space="preserve">Omnibus et al. </t>
    </r>
    <r>
      <rPr>
        <vertAlign val="superscript"/>
        <sz val="12"/>
        <color theme="1"/>
        <rFont val="Calibri"/>
        <family val="2"/>
      </rPr>
      <t>30</t>
    </r>
  </si>
  <si>
    <r>
      <t xml:space="preserve">Table S4 </t>
    </r>
    <r>
      <rPr>
        <sz val="12"/>
        <color theme="1"/>
        <rFont val="Calibri"/>
        <family val="2"/>
        <scheme val="minor"/>
      </rPr>
      <t>Identical parameters [Min, Max] for all trucks applied to Equation 2 and 3 for the Monte Carlo simulation (based on Table S3).</t>
    </r>
    <r>
      <rPr>
        <b/>
        <sz val="12"/>
        <color theme="1"/>
        <rFont val="Calibri"/>
        <family val="2"/>
        <scheme val="minor"/>
      </rPr>
      <t xml:space="preserve"> </t>
    </r>
  </si>
  <si>
    <t>Variables</t>
  </si>
  <si>
    <t>Units</t>
  </si>
  <si>
    <t>(Year 2016)</t>
  </si>
  <si>
    <t>(Year 2030)</t>
  </si>
  <si>
    <t>Z</t>
  </si>
  <si>
    <t>road gradient</t>
  </si>
  <si>
    <t>-</t>
  </si>
  <si>
    <t>Table S3 &amp;</t>
  </si>
  <si>
    <r>
      <t xml:space="preserve"> </t>
    </r>
    <r>
      <rPr>
        <vertAlign val="superscript"/>
        <sz val="12"/>
        <color theme="1"/>
        <rFont val="Calibri"/>
        <family val="2"/>
        <scheme val="minor"/>
      </rPr>
      <t>31-33</t>
    </r>
    <r>
      <rPr>
        <sz val="12"/>
        <color theme="1"/>
        <rFont val="Calibri"/>
        <family val="2"/>
        <scheme val="minor"/>
      </rPr>
      <t xml:space="preserve"> </t>
    </r>
  </si>
  <si>
    <r>
      <t>t</t>
    </r>
    <r>
      <rPr>
        <b/>
        <i/>
        <vertAlign val="subscript"/>
        <sz val="12"/>
        <color theme="1"/>
        <rFont val="Calibri"/>
        <family val="2"/>
      </rPr>
      <t>f</t>
    </r>
  </si>
  <si>
    <t>fraction of time the vehicle spends at a road grade</t>
  </si>
  <si>
    <t>ρ</t>
  </si>
  <si>
    <t>density of air</t>
  </si>
  <si>
    <r>
      <t>kg/m</t>
    </r>
    <r>
      <rPr>
        <vertAlign val="superscript"/>
        <sz val="12"/>
        <color theme="1"/>
        <rFont val="Calibri"/>
        <family val="2"/>
      </rPr>
      <t>3</t>
    </r>
  </si>
  <si>
    <t>g</t>
  </si>
  <si>
    <t>acceleration of gravity</t>
  </si>
  <si>
    <r>
      <t>m/s</t>
    </r>
    <r>
      <rPr>
        <vertAlign val="superscript"/>
        <sz val="12"/>
        <color theme="1"/>
        <rFont val="Calibri"/>
        <family val="2"/>
      </rPr>
      <t>2</t>
    </r>
  </si>
  <si>
    <t>a</t>
  </si>
  <si>
    <t>mean acceleration or deceleration of the vehicle</t>
  </si>
  <si>
    <t>v</t>
  </si>
  <si>
    <t>average velocity</t>
  </si>
  <si>
    <t>m/s</t>
  </si>
  <si>
    <t>[16, 21]</t>
  </si>
  <si>
    <r>
      <t>v</t>
    </r>
    <r>
      <rPr>
        <b/>
        <i/>
        <vertAlign val="subscript"/>
        <sz val="12"/>
        <color theme="1"/>
        <rFont val="Calibri"/>
        <family val="2"/>
      </rPr>
      <t>rms</t>
    </r>
  </si>
  <si>
    <t>root-mean-square of the velocity</t>
  </si>
  <si>
    <t>[19, 24]</t>
  </si>
  <si>
    <r>
      <t>W</t>
    </r>
    <r>
      <rPr>
        <b/>
        <i/>
        <vertAlign val="subscript"/>
        <sz val="12"/>
        <color theme="1"/>
        <rFont val="Calibri"/>
        <family val="2"/>
      </rPr>
      <t>T</t>
    </r>
  </si>
  <si>
    <t>gross on-road vehicle weight (GVW)</t>
  </si>
  <si>
    <t>1000 kg</t>
  </si>
  <si>
    <t>[27, 36]</t>
  </si>
  <si>
    <r>
      <t>η</t>
    </r>
    <r>
      <rPr>
        <b/>
        <i/>
        <vertAlign val="subscript"/>
        <sz val="12"/>
        <color theme="1"/>
        <rFont val="Calibri"/>
        <family val="2"/>
      </rPr>
      <t>brk</t>
    </r>
  </si>
  <si>
    <t>efficiency of the brakes</t>
  </si>
  <si>
    <t>D</t>
  </si>
  <si>
    <t>driving distance/range</t>
  </si>
  <si>
    <t>300, 600 and 900</t>
  </si>
  <si>
    <r>
      <t>C</t>
    </r>
    <r>
      <rPr>
        <b/>
        <i/>
        <vertAlign val="subscript"/>
        <sz val="12"/>
        <color theme="1"/>
        <rFont val="Calibri"/>
        <family val="2"/>
        <scheme val="minor"/>
      </rPr>
      <t>d</t>
    </r>
  </si>
  <si>
    <t>coefficient of drag</t>
  </si>
  <si>
    <t>[0.47, 0.5]</t>
  </si>
  <si>
    <t>[0.3, 0.5]</t>
  </si>
  <si>
    <r>
      <t>C</t>
    </r>
    <r>
      <rPr>
        <b/>
        <i/>
        <vertAlign val="subscript"/>
        <sz val="12"/>
        <color theme="1"/>
        <rFont val="Calibri"/>
        <family val="2"/>
        <scheme val="minor"/>
      </rPr>
      <t>rr</t>
    </r>
  </si>
  <si>
    <t>coefficient of rolling resistance</t>
  </si>
  <si>
    <t>[0.005, 0.007]</t>
  </si>
  <si>
    <t>[0.003, 0.006]</t>
  </si>
  <si>
    <t>A</t>
  </si>
  <si>
    <t>frontal area of the vehicle</t>
  </si>
  <si>
    <r>
      <t>m</t>
    </r>
    <r>
      <rPr>
        <vertAlign val="superscript"/>
        <sz val="12"/>
        <color theme="1"/>
        <rFont val="Calibri"/>
        <family val="2"/>
        <scheme val="minor"/>
      </rPr>
      <t>2</t>
    </r>
  </si>
  <si>
    <r>
      <t xml:space="preserve">Table S5 </t>
    </r>
    <r>
      <rPr>
        <sz val="12"/>
        <color theme="1"/>
        <rFont val="Calibri"/>
        <family val="2"/>
        <scheme val="minor"/>
      </rPr>
      <t>Powertrain-specific parameters [Min, Max] applied to Equation 2 and 3 for the Monte Carlo simulation.</t>
    </r>
  </si>
  <si>
    <t>Diesel Truck</t>
  </si>
  <si>
    <t>Year 2016</t>
  </si>
  <si>
    <t>Diesel  Truck</t>
  </si>
  <si>
    <t>Year 2030</t>
  </si>
  <si>
    <t>Electric Truck</t>
  </si>
  <si>
    <r>
      <t>W</t>
    </r>
    <r>
      <rPr>
        <b/>
        <i/>
        <vertAlign val="subscript"/>
        <sz val="12"/>
        <color theme="1"/>
        <rFont val="Calibri"/>
        <family val="2"/>
        <scheme val="minor"/>
      </rPr>
      <t>V</t>
    </r>
  </si>
  <si>
    <t>empty vehicle weight</t>
  </si>
  <si>
    <t>[14, 16]</t>
  </si>
  <si>
    <t>[13, 15]</t>
  </si>
  <si>
    <t>[12, 14]</t>
  </si>
  <si>
    <t>[12, 13]</t>
  </si>
  <si>
    <r>
      <t>S</t>
    </r>
    <r>
      <rPr>
        <b/>
        <i/>
        <vertAlign val="subscript"/>
        <sz val="12"/>
        <color theme="1"/>
        <rFont val="Calibri"/>
        <family val="2"/>
        <scheme val="minor"/>
      </rPr>
      <t>P</t>
    </r>
  </si>
  <si>
    <t>specific energy</t>
  </si>
  <si>
    <t>Wh/kg</t>
  </si>
  <si>
    <t>[200, 400]</t>
  </si>
  <si>
    <r>
      <t>f</t>
    </r>
    <r>
      <rPr>
        <b/>
        <i/>
        <vertAlign val="subscript"/>
        <sz val="12"/>
        <color theme="1"/>
        <rFont val="Calibri"/>
        <family val="2"/>
        <scheme val="minor"/>
      </rPr>
      <t>burden</t>
    </r>
  </si>
  <si>
    <t>packing burden factor</t>
  </si>
  <si>
    <r>
      <t>η</t>
    </r>
    <r>
      <rPr>
        <b/>
        <i/>
        <vertAlign val="subscript"/>
        <sz val="12"/>
        <color theme="1"/>
        <rFont val="Calibri"/>
        <family val="2"/>
        <scheme val="minor"/>
      </rPr>
      <t>ew</t>
    </r>
  </si>
  <si>
    <t>engine/battery-to-wheels efficiency</t>
  </si>
  <si>
    <t>Table S3</t>
  </si>
  <si>
    <t>31, 32, 34-37</t>
  </si>
  <si>
    <r>
      <t>35, 38-40</t>
    </r>
    <r>
      <rPr>
        <sz val="12"/>
        <color theme="1"/>
        <rFont val="Calibri"/>
        <family val="2"/>
        <scheme val="minor"/>
      </rPr>
      <t xml:space="preserve"> </t>
    </r>
  </si>
  <si>
    <r>
      <t>35, 41-46</t>
    </r>
    <r>
      <rPr>
        <sz val="12"/>
        <color theme="1"/>
        <rFont val="Calibri"/>
        <family val="2"/>
        <scheme val="minor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</si>
</sst>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theme="1"/>
      <name val="Calibri"/>
      <family val="2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1"/>
      <color theme="5" tint="-0.249977111117893"/>
      <name val="Calibri"/>
      <family val="2"/>
      <scheme val="minor"/>
    </font>
    <font>
      <b/>
      <sz val="10"/>
      <color rgb="FF44546A"/>
      <name val="Trebuchet MS"/>
      <family val="2"/>
    </font>
    <font>
      <sz val="10"/>
      <color rgb="FF000000"/>
      <name val="Trebuchet MS"/>
      <family val="2"/>
    </font>
    <font>
      <i/>
      <sz val="10"/>
      <color theme="0" tint="-0.499984740745262"/>
      <name val="Trebuchet MS"/>
      <family val="2"/>
    </font>
    <font>
      <sz val="10"/>
      <color rgb="FF44546A"/>
      <name val="Trebuchet MS"/>
      <family val="2"/>
    </font>
    <font>
      <b/>
      <i/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vertAlign val="subscript"/>
      <sz val="12"/>
      <color rgb="FF000000"/>
      <name val="Calibri"/>
      <family val="2"/>
      <scheme val="minor"/>
    </font>
    <font>
      <i/>
      <sz val="12"/>
      <color rgb="FF000000"/>
      <name val="Calibri"/>
      <family val="2"/>
      <scheme val="minor"/>
    </font>
    <font>
      <i/>
      <vertAlign val="superscript"/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vertAlign val="superscript"/>
      <sz val="12"/>
      <color theme="1"/>
      <name val="Calibri"/>
      <family val="2"/>
    </font>
    <font>
      <b/>
      <i/>
      <sz val="12"/>
      <color theme="1"/>
      <name val="Calibri"/>
      <family val="2"/>
    </font>
    <font>
      <vertAlign val="superscript"/>
      <sz val="12"/>
      <color theme="1"/>
      <name val="Calibri"/>
      <family val="2"/>
      <scheme val="minor"/>
    </font>
    <font>
      <b/>
      <i/>
      <vertAlign val="subscript"/>
      <sz val="12"/>
      <color theme="1"/>
      <name val="Calibri"/>
      <family val="2"/>
    </font>
    <font>
      <b/>
      <i/>
      <sz val="12"/>
      <color theme="1"/>
      <name val="Calibri"/>
      <family val="2"/>
      <scheme val="minor"/>
    </font>
    <font>
      <b/>
      <i/>
      <vertAlign val="subscript"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2" tint="-9.9978637043366805E-2"/>
        <bgColor indexed="64"/>
      </patternFill>
    </fill>
  </fills>
  <borders count="2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C9C9C9"/>
      </left>
      <right style="medium">
        <color rgb="FFC9C9C9"/>
      </right>
      <top/>
      <bottom style="medium">
        <color rgb="FFC9C9C9"/>
      </bottom>
      <diagonal/>
    </border>
    <border>
      <left style="medium">
        <color rgb="FFC9C9C9"/>
      </left>
      <right/>
      <top/>
      <bottom/>
      <diagonal/>
    </border>
    <border>
      <left/>
      <right style="medium">
        <color rgb="FFC9C9C9"/>
      </right>
      <top/>
      <bottom/>
      <diagonal/>
    </border>
    <border>
      <left style="medium">
        <color rgb="FFC9C9C9"/>
      </left>
      <right/>
      <top/>
      <bottom style="medium">
        <color rgb="FFC9C9C9"/>
      </bottom>
      <diagonal/>
    </border>
    <border>
      <left/>
      <right style="medium">
        <color rgb="FFC9C9C9"/>
      </right>
      <top/>
      <bottom style="medium">
        <color rgb="FFC9C9C9"/>
      </bottom>
      <diagonal/>
    </border>
    <border>
      <left style="medium">
        <color rgb="FFC9C9C9"/>
      </left>
      <right style="medium">
        <color rgb="FFC9C9C9"/>
      </right>
      <top/>
      <bottom/>
      <diagonal/>
    </border>
    <border>
      <left/>
      <right/>
      <top/>
      <bottom style="medium">
        <color rgb="FFC9C9C9"/>
      </bottom>
      <diagonal/>
    </border>
    <border>
      <left style="medium">
        <color rgb="FFC9C9C9"/>
      </left>
      <right/>
      <top style="medium">
        <color rgb="FFC9C9C9"/>
      </top>
      <bottom/>
      <diagonal/>
    </border>
    <border>
      <left/>
      <right/>
      <top style="medium">
        <color rgb="FFC9C9C9"/>
      </top>
      <bottom/>
      <diagonal/>
    </border>
    <border>
      <left/>
      <right style="medium">
        <color rgb="FFC9C9C9"/>
      </right>
      <top style="medium">
        <color rgb="FFC9C9C9"/>
      </top>
      <bottom/>
      <diagonal/>
    </border>
    <border>
      <left style="medium">
        <color rgb="FFC9C9C9"/>
      </left>
      <right style="medium">
        <color rgb="FFC9C9C9"/>
      </right>
      <top style="medium">
        <color rgb="FFC9C9C9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4" fillId="0" borderId="0"/>
  </cellStyleXfs>
  <cellXfs count="146">
    <xf numFmtId="0" fontId="0" fillId="0" borderId="0" xfId="0"/>
    <xf numFmtId="0" fontId="0" fillId="2" borderId="0" xfId="0" applyFill="1"/>
    <xf numFmtId="0" fontId="0" fillId="0" borderId="0" xfId="0" applyFill="1"/>
    <xf numFmtId="0" fontId="0" fillId="0" borderId="0" xfId="0" applyAlignment="1">
      <alignment wrapText="1"/>
    </xf>
    <xf numFmtId="9" fontId="0" fillId="0" borderId="0" xfId="1" applyFont="1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164" fontId="0" fillId="0" borderId="0" xfId="0" applyNumberFormat="1"/>
    <xf numFmtId="1" fontId="0" fillId="0" borderId="0" xfId="0" applyNumberFormat="1"/>
    <xf numFmtId="0" fontId="0" fillId="0" borderId="0" xfId="0" applyAlignment="1"/>
    <xf numFmtId="0" fontId="0" fillId="0" borderId="0" xfId="0" applyAlignment="1">
      <alignment horizontal="right"/>
    </xf>
    <xf numFmtId="1" fontId="0" fillId="0" borderId="0" xfId="0" applyNumberFormat="1" applyAlignment="1">
      <alignment horizontal="center"/>
    </xf>
    <xf numFmtId="0" fontId="3" fillId="0" borderId="0" xfId="0" applyFont="1"/>
    <xf numFmtId="2" fontId="0" fillId="0" borderId="0" xfId="0" applyNumberFormat="1"/>
    <xf numFmtId="9" fontId="0" fillId="0" borderId="0" xfId="1" applyFon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Fill="1" applyAlignment="1">
      <alignment horizontal="center"/>
    </xf>
    <xf numFmtId="9" fontId="0" fillId="0" borderId="0" xfId="1" applyNumberFormat="1" applyFont="1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165" fontId="0" fillId="0" borderId="0" xfId="0" applyNumberFormat="1"/>
    <xf numFmtId="0" fontId="0" fillId="0" borderId="0" xfId="0" applyAlignment="1">
      <alignment horizontal="center"/>
    </xf>
    <xf numFmtId="0" fontId="0" fillId="0" borderId="0" xfId="0"/>
    <xf numFmtId="0" fontId="0" fillId="0" borderId="0" xfId="0" applyAlignment="1">
      <alignment horizontal="center"/>
    </xf>
    <xf numFmtId="1" fontId="0" fillId="0" borderId="0" xfId="0" applyNumberFormat="1"/>
    <xf numFmtId="1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7" fillId="0" borderId="2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0" fillId="0" borderId="0" xfId="0" applyBorder="1"/>
    <xf numFmtId="0" fontId="7" fillId="0" borderId="0" xfId="0" applyFont="1" applyBorder="1" applyAlignment="1">
      <alignment vertical="center" wrapText="1"/>
    </xf>
    <xf numFmtId="9" fontId="7" fillId="0" borderId="0" xfId="1" applyFont="1" applyAlignment="1">
      <alignment vertical="center" wrapText="1"/>
    </xf>
    <xf numFmtId="9" fontId="7" fillId="0" borderId="0" xfId="1" applyFont="1" applyAlignment="1">
      <alignment horizontal="right" vertical="center" wrapText="1"/>
    </xf>
    <xf numFmtId="9" fontId="0" fillId="0" borderId="0" xfId="0" applyNumberFormat="1" applyAlignment="1">
      <alignment horizontal="right"/>
    </xf>
    <xf numFmtId="0" fontId="0" fillId="0" borderId="0" xfId="0" applyAlignment="1">
      <alignment horizontal="center"/>
    </xf>
    <xf numFmtId="0" fontId="0" fillId="0" borderId="0" xfId="0" applyFill="1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right" wrapText="1"/>
    </xf>
    <xf numFmtId="10" fontId="0" fillId="0" borderId="0" xfId="1" applyNumberFormat="1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/>
    </xf>
    <xf numFmtId="0" fontId="10" fillId="0" borderId="4" xfId="0" applyFont="1" applyBorder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5" borderId="0" xfId="0" applyFont="1" applyFill="1" applyAlignment="1">
      <alignment horizontal="right" vertical="center" wrapText="1"/>
    </xf>
    <xf numFmtId="9" fontId="12" fillId="5" borderId="0" xfId="0" applyNumberFormat="1" applyFont="1" applyFill="1" applyAlignment="1">
      <alignment horizontal="center" vertical="center" wrapText="1"/>
    </xf>
    <xf numFmtId="0" fontId="12" fillId="5" borderId="0" xfId="0" applyFont="1" applyFill="1" applyAlignment="1">
      <alignment horizontal="center" vertical="center" wrapText="1"/>
    </xf>
    <xf numFmtId="0" fontId="12" fillId="0" borderId="5" xfId="0" applyFont="1" applyBorder="1" applyAlignment="1">
      <alignment horizontal="right" vertical="center" wrapText="1"/>
    </xf>
    <xf numFmtId="9" fontId="12" fillId="0" borderId="5" xfId="0" applyNumberFormat="1" applyFont="1" applyBorder="1" applyAlignment="1">
      <alignment horizontal="center" vertical="center" wrapText="1"/>
    </xf>
    <xf numFmtId="9" fontId="12" fillId="0" borderId="5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5" borderId="0" xfId="0" applyFont="1" applyFill="1" applyAlignment="1">
      <alignment horizontal="left" vertical="center" wrapText="1"/>
    </xf>
    <xf numFmtId="9" fontId="12" fillId="5" borderId="0" xfId="1" applyFont="1" applyFill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9" fontId="12" fillId="0" borderId="0" xfId="1" applyFont="1" applyAlignment="1">
      <alignment horizontal="center" vertical="center" wrapText="1"/>
    </xf>
    <xf numFmtId="0" fontId="13" fillId="0" borderId="0" xfId="0" applyFont="1" applyAlignment="1">
      <alignment horizontal="right" vertical="center" wrapText="1"/>
    </xf>
    <xf numFmtId="0" fontId="13" fillId="5" borderId="0" xfId="0" applyFont="1" applyFill="1" applyAlignment="1">
      <alignment horizontal="right" vertical="center" wrapText="1"/>
    </xf>
    <xf numFmtId="0" fontId="13" fillId="0" borderId="5" xfId="0" applyFont="1" applyBorder="1" applyAlignment="1">
      <alignment horizontal="right" vertical="center" wrapText="1"/>
    </xf>
    <xf numFmtId="9" fontId="12" fillId="0" borderId="5" xfId="1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14" fillId="0" borderId="5" xfId="0" applyFont="1" applyBorder="1" applyAlignment="1">
      <alignment horizontal="center" vertical="center" wrapText="1"/>
    </xf>
    <xf numFmtId="0" fontId="12" fillId="0" borderId="0" xfId="0" applyFont="1" applyAlignment="1">
      <alignment horizontal="right" vertical="center" wrapText="1"/>
    </xf>
    <xf numFmtId="9" fontId="12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right" vertical="center" wrapText="1"/>
    </xf>
    <xf numFmtId="9" fontId="12" fillId="0" borderId="0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left"/>
    </xf>
    <xf numFmtId="0" fontId="15" fillId="3" borderId="1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vertical="center"/>
    </xf>
    <xf numFmtId="0" fontId="16" fillId="0" borderId="0" xfId="0" applyFont="1"/>
    <xf numFmtId="0" fontId="3" fillId="6" borderId="0" xfId="0" applyFont="1" applyFill="1" applyAlignment="1">
      <alignment vertical="center"/>
    </xf>
    <xf numFmtId="0" fontId="0" fillId="6" borderId="0" xfId="0" applyFill="1" applyAlignment="1">
      <alignment vertical="center"/>
    </xf>
    <xf numFmtId="0" fontId="0" fillId="4" borderId="0" xfId="0" applyFill="1" applyAlignment="1">
      <alignment vertical="center"/>
    </xf>
    <xf numFmtId="0" fontId="0" fillId="4" borderId="0" xfId="0" applyFill="1" applyAlignment="1">
      <alignment vertical="center" wrapText="1"/>
    </xf>
    <xf numFmtId="0" fontId="0" fillId="2" borderId="0" xfId="0" applyFill="1" applyAlignment="1">
      <alignment vertical="center"/>
    </xf>
    <xf numFmtId="0" fontId="0" fillId="2" borderId="0" xfId="0" applyFill="1" applyAlignment="1">
      <alignment vertical="center" wrapText="1"/>
    </xf>
    <xf numFmtId="164" fontId="0" fillId="2" borderId="0" xfId="0" applyNumberFormat="1" applyFill="1" applyAlignment="1">
      <alignment vertical="center" wrapText="1"/>
    </xf>
    <xf numFmtId="164" fontId="0" fillId="0" borderId="0" xfId="0" applyNumberFormat="1" applyAlignment="1">
      <alignment vertical="center" wrapText="1"/>
    </xf>
    <xf numFmtId="0" fontId="0" fillId="6" borderId="0" xfId="0" applyFill="1" applyAlignment="1">
      <alignment vertical="center" wrapText="1"/>
    </xf>
    <xf numFmtId="164" fontId="0" fillId="6" borderId="0" xfId="0" applyNumberFormat="1" applyFill="1" applyAlignment="1">
      <alignment vertical="center" wrapText="1"/>
    </xf>
    <xf numFmtId="0" fontId="16" fillId="0" borderId="0" xfId="0" applyFont="1" applyAlignment="1">
      <alignment horizontal="center"/>
    </xf>
    <xf numFmtId="0" fontId="0" fillId="4" borderId="3" xfId="0" applyFill="1" applyBorder="1" applyAlignment="1">
      <alignment vertical="center"/>
    </xf>
    <xf numFmtId="0" fontId="0" fillId="4" borderId="3" xfId="0" applyFill="1" applyBorder="1" applyAlignment="1">
      <alignment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/>
    </xf>
    <xf numFmtId="0" fontId="17" fillId="0" borderId="7" xfId="0" applyFont="1" applyBorder="1" applyAlignment="1">
      <alignment vertical="center"/>
    </xf>
    <xf numFmtId="0" fontId="20" fillId="0" borderId="7" xfId="0" applyFont="1" applyBorder="1" applyAlignment="1">
      <alignment horizontal="center" vertical="center"/>
    </xf>
    <xf numFmtId="0" fontId="20" fillId="0" borderId="7" xfId="0" applyFont="1" applyBorder="1" applyAlignment="1">
      <alignment vertical="center" wrapText="1"/>
    </xf>
    <xf numFmtId="0" fontId="20" fillId="0" borderId="7" xfId="0" applyFont="1" applyBorder="1" applyAlignment="1">
      <alignment vertical="center"/>
    </xf>
    <xf numFmtId="0" fontId="17" fillId="0" borderId="5" xfId="0" applyFont="1" applyBorder="1" applyAlignment="1">
      <alignment vertical="center"/>
    </xf>
    <xf numFmtId="0" fontId="17" fillId="0" borderId="10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20" fillId="0" borderId="14" xfId="0" applyFont="1" applyBorder="1" applyAlignment="1">
      <alignment vertical="center"/>
    </xf>
    <xf numFmtId="0" fontId="20" fillId="0" borderId="6" xfId="0" applyFont="1" applyBorder="1" applyAlignment="1">
      <alignment vertical="center"/>
    </xf>
    <xf numFmtId="0" fontId="20" fillId="0" borderId="10" xfId="0" applyFont="1" applyBorder="1" applyAlignment="1">
      <alignment vertical="center"/>
    </xf>
    <xf numFmtId="0" fontId="20" fillId="0" borderId="14" xfId="0" applyFont="1" applyBorder="1" applyAlignment="1">
      <alignment vertical="center" wrapText="1"/>
    </xf>
    <xf numFmtId="0" fontId="20" fillId="0" borderId="6" xfId="0" applyFont="1" applyBorder="1" applyAlignment="1">
      <alignment vertical="center" wrapText="1"/>
    </xf>
    <xf numFmtId="0" fontId="20" fillId="0" borderId="10" xfId="0" applyFont="1" applyBorder="1" applyAlignment="1">
      <alignment vertical="center" wrapText="1"/>
    </xf>
    <xf numFmtId="0" fontId="7" fillId="0" borderId="15" xfId="0" applyFont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7" fillId="0" borderId="16" xfId="0" applyFont="1" applyBorder="1" applyAlignment="1">
      <alignment vertical="center" wrapText="1"/>
    </xf>
    <xf numFmtId="0" fontId="7" fillId="0" borderId="17" xfId="0" applyFont="1" applyBorder="1" applyAlignment="1">
      <alignment vertical="center" wrapText="1"/>
    </xf>
    <xf numFmtId="0" fontId="7" fillId="0" borderId="15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22" fillId="0" borderId="20" xfId="0" applyFont="1" applyBorder="1" applyAlignment="1">
      <alignment horizontal="center" vertical="center" wrapText="1"/>
    </xf>
    <xf numFmtId="0" fontId="22" fillId="0" borderId="20" xfId="0" applyFont="1" applyBorder="1" applyAlignment="1">
      <alignment vertical="center" wrapText="1"/>
    </xf>
    <xf numFmtId="0" fontId="0" fillId="0" borderId="20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27" fillId="0" borderId="18" xfId="0" applyFont="1" applyBorder="1" applyAlignment="1">
      <alignment horizontal="center" vertical="center" wrapText="1"/>
    </xf>
    <xf numFmtId="0" fontId="22" fillId="0" borderId="22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3" fontId="22" fillId="0" borderId="22" xfId="0" applyNumberFormat="1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25" fillId="0" borderId="22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right" vertical="center" wrapText="1"/>
    </xf>
    <xf numFmtId="0" fontId="9" fillId="0" borderId="26" xfId="0" applyFont="1" applyBorder="1" applyAlignment="1">
      <alignment horizontal="right" vertical="center" wrapText="1"/>
    </xf>
    <xf numFmtId="0" fontId="9" fillId="0" borderId="27" xfId="0" applyFont="1" applyBorder="1" applyAlignment="1">
      <alignment horizontal="right" vertical="center" wrapText="1"/>
    </xf>
    <xf numFmtId="0" fontId="9" fillId="0" borderId="21" xfId="0" applyFont="1" applyBorder="1" applyAlignment="1">
      <alignment horizontal="right" vertical="center" wrapText="1"/>
    </xf>
    <xf numFmtId="0" fontId="9" fillId="0" borderId="24" xfId="0" applyFont="1" applyBorder="1" applyAlignment="1">
      <alignment horizontal="right" vertical="center" wrapText="1"/>
    </xf>
    <xf numFmtId="0" fontId="9" fillId="0" borderId="22" xfId="0" applyFont="1" applyBorder="1" applyAlignment="1">
      <alignment horizontal="right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</cellXfs>
  <cellStyles count="3">
    <cellStyle name="Normal" xfId="0" builtinId="0"/>
    <cellStyle name="Normal 2" xfId="2" xr:uid="{00000000-0005-0000-0000-000001000000}"/>
    <cellStyle name="Percent" xfId="1" builtinId="5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Trebuchet MS"/>
        <scheme val="none"/>
      </font>
      <numFmt numFmtId="13" formatCode="0%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Trebuchet MS"/>
        <scheme val="none"/>
      </font>
      <numFmt numFmtId="13" formatCode="0%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Trebuchet MS"/>
        <scheme val="none"/>
      </font>
      <numFmt numFmtId="13" formatCode="0%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Trebuchet MS"/>
        <scheme val="none"/>
      </font>
      <alignment horizontal="right" vertical="center" textRotation="0" wrapText="1" indent="0" justifyLastLine="0" shrinkToFit="0" readingOrder="0"/>
    </dxf>
    <dxf>
      <border outline="0">
        <bottom style="medium">
          <color indexed="64"/>
        </bottom>
      </border>
    </dxf>
    <dxf>
      <border outline="0"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Trebuchet MS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44546A"/>
        <name val="Trebuchet MS"/>
        <scheme val="none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934BC9"/>
      <color rgb="FFC0C3FC"/>
      <color rgb="FF0911AF"/>
      <color rgb="FF4850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6"/>
          <c:order val="0"/>
          <c:tx>
            <c:v>GHG Reduction</c:v>
          </c:tx>
          <c:spPr>
            <a:solidFill>
              <a:schemeClr val="accent1">
                <a:lumMod val="60000"/>
              </a:schemeClr>
            </a:solidFill>
            <a:ln w="25400"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92D050"/>
              </a:solidFill>
              <a:ln w="25400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5B14-4940-8E70-2DC435085A8D}"/>
              </c:ext>
            </c:extLst>
          </c:dPt>
          <c:dPt>
            <c:idx val="1"/>
            <c:invertIfNegative val="0"/>
            <c:bubble3D val="0"/>
            <c:spPr>
              <a:solidFill>
                <a:srgbClr val="92D050"/>
              </a:solidFill>
              <a:ln w="25400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5B14-4940-8E70-2DC435085A8D}"/>
              </c:ext>
            </c:extLst>
          </c:dPt>
          <c:dPt>
            <c:idx val="2"/>
            <c:invertIfNegative val="0"/>
            <c:bubble3D val="0"/>
            <c:spPr>
              <a:solidFill>
                <a:srgbClr val="00B0F0"/>
              </a:solidFill>
              <a:ln w="25400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A-5B14-4940-8E70-2DC435085A8D}"/>
              </c:ext>
            </c:extLst>
          </c:dPt>
          <c:dPt>
            <c:idx val="3"/>
            <c:invertIfNegative val="0"/>
            <c:bubble3D val="0"/>
            <c:spPr>
              <a:solidFill>
                <a:srgbClr val="00B0F0"/>
              </a:solidFill>
              <a:ln w="25400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5B14-4940-8E70-2DC435085A8D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 w="25400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C-5B14-4940-8E70-2DC435085A8D}"/>
              </c:ext>
            </c:extLst>
          </c:dPt>
          <c:dPt>
            <c:idx val="5"/>
            <c:invertIfNegative val="0"/>
            <c:bubble3D val="0"/>
            <c:spPr>
              <a:solidFill>
                <a:srgbClr val="FFC000"/>
              </a:solidFill>
              <a:ln w="25400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5B14-4940-8E70-2DC435085A8D}"/>
              </c:ext>
            </c:extLst>
          </c:dPt>
          <c:dPt>
            <c:idx val="6"/>
            <c:invertIfNegative val="0"/>
            <c:bubble3D val="0"/>
            <c:spPr>
              <a:solidFill>
                <a:srgbClr val="FFC000"/>
              </a:solidFill>
              <a:ln w="25400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5B14-4940-8E70-2DC435085A8D}"/>
              </c:ext>
            </c:extLst>
          </c:dPt>
          <c:dPt>
            <c:idx val="7"/>
            <c:invertIfNegative val="0"/>
            <c:bubble3D val="0"/>
            <c:spPr>
              <a:solidFill>
                <a:srgbClr val="FFC000"/>
              </a:solidFill>
              <a:ln w="25400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E-5B14-4940-8E70-2DC435085A8D}"/>
              </c:ext>
            </c:extLst>
          </c:dPt>
          <c:cat>
            <c:multiLvlStrRef>
              <c:f>' 2030 gCO2eqtonkm'!$P$2:$Q$9</c:f>
            </c:multiLvlStrRef>
          </c:cat>
          <c:val>
            <c:numRef>
              <c:f>' 2030 gCO2eqtonkm'!$M$2:$M$9</c:f>
              <c:numCache>
                <c:formatCode>0%</c:formatCode>
                <c:ptCount val="8"/>
                <c:pt idx="0">
                  <c:v>0.37804213740458004</c:v>
                </c:pt>
                <c:pt idx="1">
                  <c:v>0.77891984732824426</c:v>
                </c:pt>
                <c:pt idx="2">
                  <c:v>0.24564885496183209</c:v>
                </c:pt>
                <c:pt idx="3">
                  <c:v>0.22458015267175568</c:v>
                </c:pt>
                <c:pt idx="4">
                  <c:v>0.39465648854961832</c:v>
                </c:pt>
                <c:pt idx="5">
                  <c:v>-0.11889786259542001</c:v>
                </c:pt>
                <c:pt idx="6">
                  <c:v>6.1407480916030543E-2</c:v>
                </c:pt>
                <c:pt idx="7">
                  <c:v>0.46125480916030537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B14-4940-8E70-2DC435085A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26137151"/>
        <c:axId val="1726149631"/>
      </c:barChart>
      <c:catAx>
        <c:axId val="17261371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6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6149631"/>
        <c:crosses val="autoZero"/>
        <c:auto val="1"/>
        <c:lblAlgn val="ctr"/>
        <c:lblOffset val="100"/>
        <c:noMultiLvlLbl val="0"/>
      </c:catAx>
      <c:valAx>
        <c:axId val="17261496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="1">
                    <a:solidFill>
                      <a:sysClr val="windowText" lastClr="000000"/>
                    </a:solidFill>
                  </a:rPr>
                  <a:t>GHG reduction (%)</a:t>
                </a:r>
              </a:p>
            </c:rich>
          </c:tx>
          <c:layout>
            <c:manualLayout>
              <c:xMode val="edge"/>
              <c:yMode val="edge"/>
              <c:x val="1.4209426946631671E-2"/>
              <c:y val="0.1930664705745329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6137151"/>
        <c:crosses val="autoZero"/>
        <c:crossBetween val="between"/>
        <c:majorUnit val="0.2"/>
      </c:valAx>
      <c:spPr>
        <a:noFill/>
        <a:ln>
          <a:solidFill>
            <a:sysClr val="windowText" lastClr="000000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 2030 gCO2eqtonkm'!$B$1</c:f>
              <c:strCache>
                <c:ptCount val="1"/>
                <c:pt idx="0">
                  <c:v>Truck production &amp; recycling</c:v>
                </c:pt>
              </c:strCache>
            </c:strRef>
          </c:tx>
          <c:spPr>
            <a:solidFill>
              <a:srgbClr val="0911AF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multiLvlStrRef>
              <c:f>' 2030 gCO2eqtonkm'!$P$2:$Q$9</c:f>
            </c:multiLvlStrRef>
          </c:cat>
          <c:val>
            <c:numRef>
              <c:f>' 2030 gCO2eqtonkm'!$B$2:$B$9</c:f>
              <c:numCache>
                <c:formatCode>0.0</c:formatCode>
                <c:ptCount val="8"/>
                <c:pt idx="0">
                  <c:v>2.4300000000000002</c:v>
                </c:pt>
                <c:pt idx="1">
                  <c:v>2.42</c:v>
                </c:pt>
                <c:pt idx="2">
                  <c:v>2.42</c:v>
                </c:pt>
                <c:pt idx="3">
                  <c:v>2.42</c:v>
                </c:pt>
                <c:pt idx="4">
                  <c:v>2.42</c:v>
                </c:pt>
                <c:pt idx="5">
                  <c:v>3.66</c:v>
                </c:pt>
                <c:pt idx="6">
                  <c:v>3.66</c:v>
                </c:pt>
                <c:pt idx="7">
                  <c:v>3.66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C9-465D-8E81-6E31B944C1F2}"/>
            </c:ext>
          </c:extLst>
        </c:ser>
        <c:ser>
          <c:idx val="4"/>
          <c:order val="1"/>
          <c:tx>
            <c:strRef>
              <c:f>' 2030 gCO2eqtonkm'!$C$1</c:f>
              <c:strCache>
                <c:ptCount val="1"/>
                <c:pt idx="0">
                  <c:v>Battery production</c:v>
                </c:pt>
              </c:strCache>
            </c:strRef>
          </c:tx>
          <c:spPr>
            <a:solidFill>
              <a:srgbClr val="00B0F0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multiLvlStrRef>
              <c:f>' 2030 gCO2eqtonkm'!$P$2:$Q$9</c:f>
            </c:multiLvlStrRef>
          </c:cat>
          <c:val>
            <c:numRef>
              <c:f>' 2030 gCO2eqtonkm'!$C$2:$C$9</c:f>
              <c:numCache>
                <c:formatCode>0.0</c:formatCode>
                <c:ptCount val="8"/>
                <c:pt idx="2">
                  <c:v>4.8499999999999996</c:v>
                </c:pt>
                <c:pt idx="3">
                  <c:v>4.8899999999999997</c:v>
                </c:pt>
                <c:pt idx="4">
                  <c:v>4.66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EC9-465D-8E81-6E31B944C1F2}"/>
            </c:ext>
          </c:extLst>
        </c:ser>
        <c:ser>
          <c:idx val="1"/>
          <c:order val="2"/>
          <c:tx>
            <c:strRef>
              <c:f>' 2030 gCO2eqtonkm'!$D$1</c:f>
              <c:strCache>
                <c:ptCount val="1"/>
                <c:pt idx="0">
                  <c:v>Energy production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multiLvlStrRef>
              <c:f>' 2030 gCO2eqtonkm'!$P$2:$Q$9</c:f>
            </c:multiLvlStrRef>
          </c:cat>
          <c:val>
            <c:numRef>
              <c:f>' 2030 gCO2eqtonkm'!$D$2:$D$9</c:f>
              <c:numCache>
                <c:formatCode>0.0</c:formatCode>
                <c:ptCount val="8"/>
                <c:pt idx="0">
                  <c:v>6.76</c:v>
                </c:pt>
                <c:pt idx="1">
                  <c:v>-18.82</c:v>
                </c:pt>
                <c:pt idx="2">
                  <c:v>42.14</c:v>
                </c:pt>
                <c:pt idx="3">
                  <c:v>43.48</c:v>
                </c:pt>
                <c:pt idx="4">
                  <c:v>32.57</c:v>
                </c:pt>
                <c:pt idx="5">
                  <c:v>57.98</c:v>
                </c:pt>
                <c:pt idx="6">
                  <c:v>46.17</c:v>
                </c:pt>
                <c:pt idx="7">
                  <c:v>19.98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EC9-465D-8E81-6E31B944C1F2}"/>
            </c:ext>
          </c:extLst>
        </c:ser>
        <c:ser>
          <c:idx val="2"/>
          <c:order val="3"/>
          <c:tx>
            <c:strRef>
              <c:f>' 2030 gCO2eqtonkm'!$E$1</c:f>
              <c:strCache>
                <c:ptCount val="1"/>
                <c:pt idx="0">
                  <c:v>Fuel transport &amp; delivery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multiLvlStrRef>
              <c:f>' 2030 gCO2eqtonkm'!$P$2:$Q$9</c:f>
            </c:multiLvlStrRef>
          </c:cat>
          <c:val>
            <c:numRef>
              <c:f>' 2030 gCO2eqtonkm'!$E$2:$E$9</c:f>
              <c:numCache>
                <c:formatCode>0.0</c:formatCode>
                <c:ptCount val="8"/>
                <c:pt idx="0">
                  <c:v>0.13300000000000001</c:v>
                </c:pt>
                <c:pt idx="5">
                  <c:v>11.64781</c:v>
                </c:pt>
                <c:pt idx="6">
                  <c:v>11.64781</c:v>
                </c:pt>
                <c:pt idx="7">
                  <c:v>11.64781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EC9-465D-8E81-6E31B944C1F2}"/>
            </c:ext>
          </c:extLst>
        </c:ser>
        <c:ser>
          <c:idx val="3"/>
          <c:order val="4"/>
          <c:tx>
            <c:strRef>
              <c:f>' 2030 gCO2eqtonkm'!$F$1</c:f>
              <c:strCache>
                <c:ptCount val="1"/>
                <c:pt idx="0">
                  <c:v>Combustion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multiLvlStrRef>
              <c:f>' 2030 gCO2eqtonkm'!$P$2:$Q$9</c:f>
            </c:multiLvlStrRef>
          </c:cat>
          <c:val>
            <c:numRef>
              <c:f>' 2030 gCO2eqtonkm'!$F$2:$F$9</c:f>
              <c:numCache>
                <c:formatCode>0.0</c:formatCode>
                <c:ptCount val="8"/>
                <c:pt idx="0">
                  <c:v>31.415240000000001</c:v>
                </c:pt>
                <c:pt idx="1">
                  <c:v>30.880749999999999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EC9-465D-8E81-6E31B944C1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26137151"/>
        <c:axId val="1726149631"/>
      </c:barChart>
      <c:lineChart>
        <c:grouping val="standard"/>
        <c:varyColors val="0"/>
        <c:ser>
          <c:idx val="6"/>
          <c:order val="6"/>
          <c:tx>
            <c:v>2016 HDT Baseline</c:v>
          </c:tx>
          <c:spPr>
            <a:ln w="28575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tx1"/>
                </a:solidFill>
                <a:prstDash val="dash"/>
              </a:ln>
              <a:effectLst/>
            </c:spPr>
            <c:trendlineType val="linear"/>
            <c:forward val="0.5"/>
            <c:backward val="0.5"/>
            <c:dispRSqr val="0"/>
            <c:dispEq val="0"/>
          </c:trendline>
          <c:cat>
            <c:strRef>
              <c:f>' 2016 gCO2eqtonkm'!$A$2</c:f>
              <c:strCache>
                <c:ptCount val="1"/>
                <c:pt idx="0">
                  <c:v>Diesel-ICEV</c:v>
                </c:pt>
              </c:strCache>
            </c:strRef>
          </c:cat>
          <c:val>
            <c:numRef>
              <c:f>(' 2016 gCO2eqtonkm'!$H$2,' 2016 gCO2eqtonkm'!$H$2,' 2016 gCO2eqtonkm'!$H$2,' 2016 gCO2eqtonkm'!$H$2,' 2016 gCO2eqtonkm'!$H$2,' 2016 gCO2eqtonkm'!$H$2,' 2016 gCO2eqtonkm'!$H$2,' 2016 gCO2eqtonkm'!$H$2)</c:f>
              <c:numCache>
                <c:formatCode>0</c:formatCode>
                <c:ptCount val="8"/>
                <c:pt idx="0">
                  <c:v>65.5</c:v>
                </c:pt>
                <c:pt idx="1">
                  <c:v>65.5</c:v>
                </c:pt>
                <c:pt idx="2">
                  <c:v>65.5</c:v>
                </c:pt>
                <c:pt idx="3">
                  <c:v>65.5</c:v>
                </c:pt>
                <c:pt idx="4">
                  <c:v>65.5</c:v>
                </c:pt>
                <c:pt idx="5">
                  <c:v>65.5</c:v>
                </c:pt>
                <c:pt idx="6">
                  <c:v>65.5</c:v>
                </c:pt>
                <c:pt idx="7">
                  <c:v>65.5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1EC9-465D-8E81-6E31B944C1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26137151"/>
        <c:axId val="1726149631"/>
      </c:lineChart>
      <c:scatterChart>
        <c:scatterStyle val="lineMarker"/>
        <c:varyColors val="0"/>
        <c:ser>
          <c:idx val="5"/>
          <c:order val="5"/>
          <c:tx>
            <c:strRef>
              <c:f>' 2030 gCO2eqtonkm'!$H$1</c:f>
              <c:strCache>
                <c:ptCount val="1"/>
                <c:pt idx="0">
                  <c:v>Total Life Cycle Emissions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11"/>
            <c:spPr>
              <a:solidFill>
                <a:srgbClr val="0070C0"/>
              </a:solidFill>
              <a:ln w="9525">
                <a:solidFill>
                  <a:sysClr val="windowText" lastClr="000000"/>
                </a:solidFill>
              </a:ln>
              <a:effectLst/>
            </c:spPr>
          </c:marker>
          <c:dLbls>
            <c:numFmt formatCode="#,##0.0" sourceLinked="0"/>
            <c:spPr>
              <a:solidFill>
                <a:schemeClr val="bg1">
                  <a:alpha val="75000"/>
                </a:schemeClr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1" u="none" strike="noStrike" kern="1200" baseline="0">
                    <a:solidFill>
                      <a:srgbClr val="00206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yVal>
            <c:numRef>
              <c:f>' 2030 gCO2eqtonkm'!$H$2:$H$9</c:f>
              <c:numCache>
                <c:formatCode>0.0</c:formatCode>
                <c:ptCount val="8"/>
                <c:pt idx="0">
                  <c:v>40.738240000000005</c:v>
                </c:pt>
                <c:pt idx="1">
                  <c:v>14.48075</c:v>
                </c:pt>
                <c:pt idx="2">
                  <c:v>49.41</c:v>
                </c:pt>
                <c:pt idx="3">
                  <c:v>50.79</c:v>
                </c:pt>
                <c:pt idx="4">
                  <c:v>39.65</c:v>
                </c:pt>
                <c:pt idx="5">
                  <c:v>73.287810000000007</c:v>
                </c:pt>
                <c:pt idx="6">
                  <c:v>61.477809999999998</c:v>
                </c:pt>
                <c:pt idx="7">
                  <c:v>35.28781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1EC9-465D-8E81-6E31B944C1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26137151"/>
        <c:axId val="1726149631"/>
      </c:scatterChart>
      <c:catAx>
        <c:axId val="17261371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54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6149631"/>
        <c:crosses val="autoZero"/>
        <c:auto val="1"/>
        <c:lblAlgn val="ctr"/>
        <c:lblOffset val="100"/>
        <c:noMultiLvlLbl val="0"/>
      </c:catAx>
      <c:valAx>
        <c:axId val="1726149631"/>
        <c:scaling>
          <c:orientation val="minMax"/>
          <c:min val="-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="1">
                    <a:solidFill>
                      <a:sysClr val="windowText" lastClr="000000"/>
                    </a:solidFill>
                  </a:rPr>
                  <a:t>gCO</a:t>
                </a:r>
                <a:r>
                  <a:rPr lang="en-US" sz="1800" b="1" baseline="-25000">
                    <a:solidFill>
                      <a:sysClr val="windowText" lastClr="000000"/>
                    </a:solidFill>
                  </a:rPr>
                  <a:t>2eq</a:t>
                </a:r>
                <a:r>
                  <a:rPr lang="en-US" sz="1800" b="1">
                    <a:solidFill>
                      <a:sysClr val="windowText" lastClr="000000"/>
                    </a:solidFill>
                  </a:rPr>
                  <a:t>/ton-km</a:t>
                </a:r>
              </a:p>
            </c:rich>
          </c:tx>
          <c:layout>
            <c:manualLayout>
              <c:xMode val="edge"/>
              <c:yMode val="edge"/>
              <c:x val="1.2820519317627533E-2"/>
              <c:y val="0.2944553519238042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6137151"/>
        <c:crosses val="autoZero"/>
        <c:crossBetween val="between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t"/>
      <c:legendEntry>
        <c:idx val="5"/>
        <c:delete val="1"/>
      </c:legendEntry>
      <c:layout>
        <c:manualLayout>
          <c:xMode val="edge"/>
          <c:yMode val="edge"/>
          <c:x val="9.1339722920797409E-2"/>
          <c:y val="1.7160540521954405E-2"/>
          <c:w val="0.88942307692307687"/>
          <c:h val="0.11623044390193583"/>
        </c:manualLayout>
      </c:layout>
      <c:overlay val="0"/>
      <c:spPr>
        <a:noFill/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1"/>
              <a:t>2016 heavy-duty</a:t>
            </a:r>
            <a:r>
              <a:rPr lang="en-US" sz="1600" b="1" baseline="0"/>
              <a:t> diesel truck</a:t>
            </a:r>
            <a:endParaRPr lang="en-US" sz="16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163956291177889"/>
          <c:y val="0.17108694168861474"/>
          <c:w val="0.78431271091113608"/>
          <c:h val="0.48040994009197729"/>
        </c:manualLayout>
      </c:layout>
      <c:lineChart>
        <c:grouping val="stacked"/>
        <c:varyColors val="0"/>
        <c:ser>
          <c:idx val="0"/>
          <c:order val="0"/>
          <c:tx>
            <c:v>MPG</c:v>
          </c:tx>
          <c:spPr>
            <a:ln w="28575" cap="rnd">
              <a:noFill/>
              <a:round/>
            </a:ln>
            <a:effectLst/>
          </c:spPr>
          <c:marker>
            <c:symbol val="diamond"/>
            <c:size val="8"/>
            <c:spPr>
              <a:solidFill>
                <a:srgbClr val="00B0F0"/>
              </a:solidFill>
              <a:ln w="9525">
                <a:solidFill>
                  <a:schemeClr val="tx1"/>
                </a:solidFill>
              </a:ln>
              <a:effectLst/>
            </c:spPr>
          </c:marker>
          <c:dPt>
            <c:idx val="0"/>
            <c:marker>
              <c:symbol val="diamond"/>
              <c:size val="8"/>
              <c:spPr>
                <a:solidFill>
                  <a:srgbClr val="00B0F0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rgbClr val="00B0F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C8CB-486C-B777-B491181CC842}"/>
              </c:ext>
            </c:extLst>
          </c:dPt>
          <c:cat>
            <c:strRef>
              <c:f>'Energy Consumption'!$I$21:$U$21</c:f>
              <c:strCache>
                <c:ptCount val="13"/>
                <c:pt idx="0">
                  <c:v>This study</c:v>
                </c:pt>
                <c:pt idx="1">
                  <c:v>Delgado et al. [1]</c:v>
                </c:pt>
                <c:pt idx="2">
                  <c:v>Roche et al. [17]</c:v>
                </c:pt>
                <c:pt idx="3">
                  <c:v>Breemersch et al. [26]</c:v>
                </c:pt>
                <c:pt idx="4">
                  <c:v>KBA [9]</c:v>
                </c:pt>
                <c:pt idx="5">
                  <c:v>Süßmann et al. [2]</c:v>
                </c:pt>
                <c:pt idx="6">
                  <c:v>Roche et al. [17]</c:v>
                </c:pt>
                <c:pt idx="7">
                  <c:v>Dünnebeil et al. [3]</c:v>
                </c:pt>
                <c:pt idx="8">
                  <c:v>ACEA [6]</c:v>
                </c:pt>
                <c:pt idx="9">
                  <c:v>Omnibus et al. [27]</c:v>
                </c:pt>
                <c:pt idx="10">
                  <c:v>Delgado et al. [7]</c:v>
                </c:pt>
                <c:pt idx="11">
                  <c:v>NACFE [54]</c:v>
                </c:pt>
                <c:pt idx="12">
                  <c:v>FHWA [55]</c:v>
                </c:pt>
              </c:strCache>
            </c:strRef>
          </c:cat>
          <c:val>
            <c:numRef>
              <c:f>'Energy Consumption'!$I$22:$U$22</c:f>
              <c:numCache>
                <c:formatCode>0.0</c:formatCode>
                <c:ptCount val="13"/>
                <c:pt idx="0">
                  <c:v>7.5754031549817995</c:v>
                </c:pt>
                <c:pt idx="1">
                  <c:v>5.54</c:v>
                </c:pt>
                <c:pt idx="2">
                  <c:v>7.42</c:v>
                </c:pt>
                <c:pt idx="3">
                  <c:v>7.24</c:v>
                </c:pt>
                <c:pt idx="4">
                  <c:v>7.19</c:v>
                </c:pt>
                <c:pt idx="5">
                  <c:v>7.11</c:v>
                </c:pt>
                <c:pt idx="6">
                  <c:v>6.88</c:v>
                </c:pt>
                <c:pt idx="7">
                  <c:v>6.82</c:v>
                </c:pt>
                <c:pt idx="8">
                  <c:v>7.84</c:v>
                </c:pt>
                <c:pt idx="9">
                  <c:v>6.68</c:v>
                </c:pt>
                <c:pt idx="10">
                  <c:v>7.11</c:v>
                </c:pt>
                <c:pt idx="11">
                  <c:v>7.27</c:v>
                </c:pt>
                <c:pt idx="12">
                  <c:v>5.98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8CB-486C-B777-B491181CC8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97660624"/>
        <c:axId val="1597661040"/>
      </c:lineChart>
      <c:lineChart>
        <c:grouping val="stacked"/>
        <c:varyColors val="0"/>
        <c:ser>
          <c:idx val="1"/>
          <c:order val="1"/>
          <c:tx>
            <c:v>L/100km</c:v>
          </c:tx>
          <c:spPr>
            <a:ln w="28575" cap="rnd">
              <a:noFill/>
              <a:round/>
            </a:ln>
            <a:effectLst/>
          </c:spPr>
          <c:marker>
            <c:symbol val="diamond"/>
            <c:size val="8"/>
            <c:spPr>
              <a:solidFill>
                <a:srgbClr val="00B050"/>
              </a:solidFill>
              <a:ln w="9525">
                <a:solidFill>
                  <a:schemeClr val="tx1"/>
                </a:solidFill>
              </a:ln>
              <a:effectLst/>
            </c:spPr>
          </c:marker>
          <c:dPt>
            <c:idx val="0"/>
            <c:marker>
              <c:symbol val="diamond"/>
              <c:size val="8"/>
              <c:spPr>
                <a:solidFill>
                  <a:srgbClr val="00B050"/>
                </a:solidFill>
                <a:ln w="9525">
                  <a:solidFill>
                    <a:schemeClr val="tx1"/>
                  </a:solidFill>
                </a:ln>
                <a:effectLst/>
              </c:spPr>
            </c:marker>
            <c:bubble3D val="0"/>
            <c:spPr>
              <a:ln w="28575" cap="rnd">
                <a:solidFill>
                  <a:srgbClr val="00B05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3-C8CB-486C-B777-B491181CC842}"/>
              </c:ext>
            </c:extLst>
          </c:dPt>
          <c:cat>
            <c:strRef>
              <c:f>'Energy Consumption'!$I$21:$U$21</c:f>
              <c:strCache>
                <c:ptCount val="13"/>
                <c:pt idx="0">
                  <c:v>This study</c:v>
                </c:pt>
                <c:pt idx="1">
                  <c:v>Delgado et al. [1]</c:v>
                </c:pt>
                <c:pt idx="2">
                  <c:v>Roche et al. [17]</c:v>
                </c:pt>
                <c:pt idx="3">
                  <c:v>Breemersch et al. [26]</c:v>
                </c:pt>
                <c:pt idx="4">
                  <c:v>KBA [9]</c:v>
                </c:pt>
                <c:pt idx="5">
                  <c:v>Süßmann et al. [2]</c:v>
                </c:pt>
                <c:pt idx="6">
                  <c:v>Roche et al. [17]</c:v>
                </c:pt>
                <c:pt idx="7">
                  <c:v>Dünnebeil et al. [3]</c:v>
                </c:pt>
                <c:pt idx="8">
                  <c:v>ACEA [6]</c:v>
                </c:pt>
                <c:pt idx="9">
                  <c:v>Omnibus et al. [27]</c:v>
                </c:pt>
                <c:pt idx="10">
                  <c:v>Delgado et al. [7]</c:v>
                </c:pt>
                <c:pt idx="11">
                  <c:v>NACFE [54]</c:v>
                </c:pt>
                <c:pt idx="12">
                  <c:v>FHWA [55]</c:v>
                </c:pt>
              </c:strCache>
            </c:strRef>
          </c:cat>
          <c:val>
            <c:numRef>
              <c:f>'Energy Consumption'!$I$23:$U$23</c:f>
              <c:numCache>
                <c:formatCode>0.0</c:formatCode>
                <c:ptCount val="13"/>
                <c:pt idx="0">
                  <c:v>31.351466732673263</c:v>
                </c:pt>
                <c:pt idx="1">
                  <c:v>42.870036101083031</c:v>
                </c:pt>
                <c:pt idx="2">
                  <c:v>32.008086253369264</c:v>
                </c:pt>
                <c:pt idx="3">
                  <c:v>32.803867403314911</c:v>
                </c:pt>
                <c:pt idx="4">
                  <c:v>33.031988873435317</c:v>
                </c:pt>
                <c:pt idx="5">
                  <c:v>33.403656821378334</c:v>
                </c:pt>
                <c:pt idx="6">
                  <c:v>34.520348837209298</c:v>
                </c:pt>
                <c:pt idx="7">
                  <c:v>34.824046920821111</c:v>
                </c:pt>
                <c:pt idx="8">
                  <c:v>30.293367346938773</c:v>
                </c:pt>
                <c:pt idx="9">
                  <c:v>35.553892215568858</c:v>
                </c:pt>
                <c:pt idx="10">
                  <c:v>33.403656821378334</c:v>
                </c:pt>
                <c:pt idx="11">
                  <c:v>32.668500687757906</c:v>
                </c:pt>
                <c:pt idx="12">
                  <c:v>39.715719063545151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8CB-486C-B777-B491181CC8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97667696"/>
        <c:axId val="1597666032"/>
      </c:lineChart>
      <c:catAx>
        <c:axId val="1597660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"/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7661040"/>
        <c:crosses val="autoZero"/>
        <c:auto val="1"/>
        <c:lblAlgn val="ctr"/>
        <c:lblOffset val="100"/>
        <c:tickMarkSkip val="1"/>
        <c:noMultiLvlLbl val="0"/>
      </c:catAx>
      <c:valAx>
        <c:axId val="1597661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/>
                  <a:t>Miles-per-gallon</a:t>
                </a:r>
                <a:r>
                  <a:rPr lang="en-US" sz="1400" b="1" baseline="0"/>
                  <a:t> (MPG)</a:t>
                </a:r>
                <a:endParaRPr lang="en-US" sz="1400" b="1"/>
              </a:p>
            </c:rich>
          </c:tx>
          <c:layout>
            <c:manualLayout>
              <c:xMode val="edge"/>
              <c:yMode val="edge"/>
              <c:x val="1.4285714285714285E-2"/>
              <c:y val="0.157222123664351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7660624"/>
        <c:crosses val="autoZero"/>
        <c:crossBetween val="between"/>
      </c:valAx>
      <c:valAx>
        <c:axId val="1597666032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/>
                  <a:t>Liters of diesel/100km</a:t>
                </a:r>
              </a:p>
            </c:rich>
          </c:tx>
          <c:layout>
            <c:manualLayout>
              <c:xMode val="edge"/>
              <c:yMode val="edge"/>
              <c:x val="0.94675510204081637"/>
              <c:y val="0.153755919158285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7667696"/>
        <c:crosses val="max"/>
        <c:crossBetween val="between"/>
        <c:majorUnit val="5"/>
      </c:valAx>
      <c:catAx>
        <c:axId val="15976676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597666032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/>
          </a:solidFill>
        </a:ln>
        <a:effectLst/>
      </c:spPr>
    </c:plotArea>
    <c:legend>
      <c:legendPos val="t"/>
      <c:layout>
        <c:manualLayout>
          <c:xMode val="edge"/>
          <c:yMode val="edge"/>
          <c:x val="0.39384460870962557"/>
          <c:y val="9.8890814558058926E-2"/>
          <c:w val="0.22863731319299374"/>
          <c:h val="7.10694742013400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2030 truck energy consumption and fuel efficiency</a:t>
            </a:r>
          </a:p>
        </c:rich>
      </c:tx>
      <c:layout>
        <c:manualLayout>
          <c:xMode val="edge"/>
          <c:yMode val="edge"/>
          <c:x val="0.32044257112750268"/>
          <c:y val="2.593192868719610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'Energy Consumption'!$I$30:$I$31</c:f>
              <c:strCache>
                <c:ptCount val="2"/>
                <c:pt idx="0">
                  <c:v>This study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1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'Energy Consumption'!$G$32:$H$34</c:f>
              <c:multiLvlStrCache>
                <c:ptCount val="3"/>
                <c:lvl>
                  <c:pt idx="0">
                    <c:v>Miles per gallon</c:v>
                  </c:pt>
                  <c:pt idx="1">
                    <c:v>Liters of diesel/100km</c:v>
                  </c:pt>
                  <c:pt idx="2">
                    <c:v>kg-H2/100km</c:v>
                  </c:pt>
                </c:lvl>
                <c:lvl>
                  <c:pt idx="0">
                    <c:v>2030 HET- Diesel</c:v>
                  </c:pt>
                  <c:pt idx="2">
                    <c:v>2030 FCT-H2</c:v>
                  </c:pt>
                </c:lvl>
              </c:multiLvlStrCache>
            </c:multiLvlStrRef>
          </c:cat>
          <c:val>
            <c:numRef>
              <c:f>'Energy Consumption'!$I$32:$I$34</c:f>
              <c:numCache>
                <c:formatCode>0</c:formatCode>
                <c:ptCount val="3"/>
                <c:pt idx="0">
                  <c:v>11.691035707622701</c:v>
                </c:pt>
                <c:pt idx="1">
                  <c:v>20.314709999999998</c:v>
                </c:pt>
                <c:pt idx="2" formatCode="0.0">
                  <c:v>5.4180659999999996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BE-43E8-98E8-8FE4E0C89BB3}"/>
            </c:ext>
          </c:extLst>
        </c:ser>
        <c:ser>
          <c:idx val="1"/>
          <c:order val="1"/>
          <c:tx>
            <c:strRef>
              <c:f>'Energy Consumption'!$J$30:$J$31</c:f>
              <c:strCache>
                <c:ptCount val="2"/>
                <c:pt idx="0">
                  <c:v>US DOE</c:v>
                </c:pt>
                <c:pt idx="1">
                  <c:v>Lower range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1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'Energy Consumption'!$G$32:$H$34</c:f>
              <c:multiLvlStrCache>
                <c:ptCount val="3"/>
                <c:lvl>
                  <c:pt idx="0">
                    <c:v>Miles per gallon</c:v>
                  </c:pt>
                  <c:pt idx="1">
                    <c:v>Liters of diesel/100km</c:v>
                  </c:pt>
                  <c:pt idx="2">
                    <c:v>kg-H2/100km</c:v>
                  </c:pt>
                </c:lvl>
                <c:lvl>
                  <c:pt idx="0">
                    <c:v>2030 HET- Diesel</c:v>
                  </c:pt>
                  <c:pt idx="2">
                    <c:v>2030 FCT-H2</c:v>
                  </c:pt>
                </c:lvl>
              </c:multiLvlStrCache>
            </c:multiLvlStrRef>
          </c:cat>
          <c:val>
            <c:numRef>
              <c:f>'Energy Consumption'!$J$32:$J$34</c:f>
              <c:numCache>
                <c:formatCode>0.0</c:formatCode>
                <c:ptCount val="3"/>
                <c:pt idx="0">
                  <c:v>10.9</c:v>
                </c:pt>
                <c:pt idx="1">
                  <c:v>15.224358974358973</c:v>
                </c:pt>
                <c:pt idx="2">
                  <c:v>3.6764705882352944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ABE-43E8-98E8-8FE4E0C89BB3}"/>
            </c:ext>
          </c:extLst>
        </c:ser>
        <c:ser>
          <c:idx val="2"/>
          <c:order val="2"/>
          <c:tx>
            <c:strRef>
              <c:f>'Energy Consumption'!$K$30:$K$31</c:f>
              <c:strCache>
                <c:ptCount val="2"/>
                <c:pt idx="0">
                  <c:v>US DOE</c:v>
                </c:pt>
                <c:pt idx="1">
                  <c:v>Upper range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1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'Energy Consumption'!$G$32:$H$34</c:f>
              <c:multiLvlStrCache>
                <c:ptCount val="3"/>
                <c:lvl>
                  <c:pt idx="0">
                    <c:v>Miles per gallon</c:v>
                  </c:pt>
                  <c:pt idx="1">
                    <c:v>Liters of diesel/100km</c:v>
                  </c:pt>
                  <c:pt idx="2">
                    <c:v>kg-H2/100km</c:v>
                  </c:pt>
                </c:lvl>
                <c:lvl>
                  <c:pt idx="0">
                    <c:v>2030 HET- Diesel</c:v>
                  </c:pt>
                  <c:pt idx="2">
                    <c:v>2030 FCT-H2</c:v>
                  </c:pt>
                </c:lvl>
              </c:multiLvlStrCache>
            </c:multiLvlStrRef>
          </c:cat>
          <c:val>
            <c:numRef>
              <c:f>'Energy Consumption'!$K$32:$K$34</c:f>
              <c:numCache>
                <c:formatCode>0.0</c:formatCode>
                <c:ptCount val="3"/>
                <c:pt idx="0">
                  <c:v>15.6</c:v>
                </c:pt>
                <c:pt idx="1">
                  <c:v>21.788990825688071</c:v>
                </c:pt>
                <c:pt idx="2">
                  <c:v>5.6306306306306304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ABE-43E8-98E8-8FE4E0C89B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93361216"/>
        <c:axId val="1593364544"/>
      </c:barChart>
      <c:catAx>
        <c:axId val="15933612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3364544"/>
        <c:crosses val="autoZero"/>
        <c:auto val="1"/>
        <c:lblAlgn val="ctr"/>
        <c:lblOffset val="100"/>
        <c:noMultiLvlLbl val="0"/>
      </c:catAx>
      <c:valAx>
        <c:axId val="1593364544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out"/>
        <c:minorTickMark val="none"/>
        <c:tickLblPos val="nextTo"/>
        <c:crossAx val="1593361216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solidFill>
            <a:schemeClr val="tx1"/>
          </a:solidFill>
        </a:ln>
        <a:effectLst/>
      </c:spPr>
    </c:plotArea>
    <c:legend>
      <c:legendPos val="t"/>
      <c:layout>
        <c:manualLayout>
          <c:xMode val="edge"/>
          <c:yMode val="edge"/>
          <c:x val="0.3111957679347731"/>
          <c:y val="0.11615002743781823"/>
          <c:w val="0.68880429461596537"/>
          <c:h val="6.646205285927589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0</xdr:colOff>
      <xdr:row>42</xdr:row>
      <xdr:rowOff>33617</xdr:rowOff>
    </xdr:from>
    <xdr:to>
      <xdr:col>42</xdr:col>
      <xdr:colOff>67235</xdr:colOff>
      <xdr:row>90</xdr:row>
      <xdr:rowOff>33617</xdr:rowOff>
    </xdr:to>
    <xdr:grpSp>
      <xdr:nvGrpSpPr>
        <xdr:cNvPr id="8" name="Group 7">
          <a:extLst>
            <a:ext uri="{FF2B5EF4-FFF2-40B4-BE49-F238E27FC236}">
              <a16:creationId xmlns:a16="http://schemas.microsoft.com/office/drawing/2014/main" id="{04EBF1FF-9993-401A-9816-2ABD4C9EF01B}"/>
            </a:ext>
          </a:extLst>
        </xdr:cNvPr>
        <xdr:cNvGrpSpPr/>
      </xdr:nvGrpSpPr>
      <xdr:grpSpPr>
        <a:xfrm>
          <a:off x="21717000" y="9863417"/>
          <a:ext cx="9211235" cy="9144000"/>
          <a:chOff x="17907000" y="9849970"/>
          <a:chExt cx="9144000" cy="9144000"/>
        </a:xfrm>
      </xdr:grpSpPr>
      <xdr:grpSp>
        <xdr:nvGrpSpPr>
          <xdr:cNvPr id="36" name="Group 35">
            <a:extLst>
              <a:ext uri="{FF2B5EF4-FFF2-40B4-BE49-F238E27FC236}">
                <a16:creationId xmlns:a16="http://schemas.microsoft.com/office/drawing/2014/main" id="{325EF121-2F6C-4EBB-B376-D7A57292EE7B}"/>
              </a:ext>
            </a:extLst>
          </xdr:cNvPr>
          <xdr:cNvGrpSpPr/>
        </xdr:nvGrpSpPr>
        <xdr:grpSpPr>
          <a:xfrm>
            <a:off x="17907000" y="9849970"/>
            <a:ext cx="9144000" cy="9144000"/>
            <a:chOff x="0" y="6975641"/>
            <a:chExt cx="7228652" cy="7021219"/>
          </a:xfrm>
        </xdr:grpSpPr>
        <xdr:graphicFrame macro="">
          <xdr:nvGraphicFramePr>
            <xdr:cNvPr id="37" name="Chart 36">
              <a:extLst>
                <a:ext uri="{FF2B5EF4-FFF2-40B4-BE49-F238E27FC236}">
                  <a16:creationId xmlns:a16="http://schemas.microsoft.com/office/drawing/2014/main" id="{B41D9304-1B47-4DF1-8C48-C7A7E35EA1E0}"/>
                </a:ext>
              </a:extLst>
            </xdr:cNvPr>
            <xdr:cNvGraphicFramePr>
              <a:graphicFrameLocks/>
            </xdr:cNvGraphicFramePr>
          </xdr:nvGraphicFramePr>
          <xdr:xfrm>
            <a:off x="0" y="6975641"/>
            <a:ext cx="7228652" cy="7021219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1"/>
            </a:graphicData>
          </a:graphic>
        </xdr:graphicFrame>
        <xdr:cxnSp macro="">
          <xdr:nvCxnSpPr>
            <xdr:cNvPr id="39" name="Straight Connector 38">
              <a:extLst>
                <a:ext uri="{FF2B5EF4-FFF2-40B4-BE49-F238E27FC236}">
                  <a16:creationId xmlns:a16="http://schemas.microsoft.com/office/drawing/2014/main" id="{FE5CAFB9-C2CC-4C4D-97E5-BAE3C80AC1A8}"/>
                </a:ext>
              </a:extLst>
            </xdr:cNvPr>
            <xdr:cNvCxnSpPr/>
          </xdr:nvCxnSpPr>
          <xdr:spPr>
            <a:xfrm flipV="1">
              <a:off x="2435473" y="7109913"/>
              <a:ext cx="0" cy="4844641"/>
            </a:xfrm>
            <a:prstGeom prst="line">
              <a:avLst/>
            </a:prstGeom>
            <a:ln w="12700"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40" name="Straight Connector 39">
              <a:extLst>
                <a:ext uri="{FF2B5EF4-FFF2-40B4-BE49-F238E27FC236}">
                  <a16:creationId xmlns:a16="http://schemas.microsoft.com/office/drawing/2014/main" id="{DBCFE1E3-112C-4D7B-A005-E5094284126C}"/>
                </a:ext>
              </a:extLst>
            </xdr:cNvPr>
            <xdr:cNvCxnSpPr/>
          </xdr:nvCxnSpPr>
          <xdr:spPr>
            <a:xfrm flipV="1">
              <a:off x="4771132" y="7109913"/>
              <a:ext cx="0" cy="4844641"/>
            </a:xfrm>
            <a:prstGeom prst="line">
              <a:avLst/>
            </a:prstGeom>
            <a:ln w="12700"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41" name="TextBox 40">
              <a:extLst>
                <a:ext uri="{FF2B5EF4-FFF2-40B4-BE49-F238E27FC236}">
                  <a16:creationId xmlns:a16="http://schemas.microsoft.com/office/drawing/2014/main" id="{10BEA1D4-F817-4734-AFDC-9610E64F9127}"/>
                </a:ext>
              </a:extLst>
            </xdr:cNvPr>
            <xdr:cNvSpPr txBox="1"/>
          </xdr:nvSpPr>
          <xdr:spPr>
            <a:xfrm>
              <a:off x="887070" y="7047166"/>
              <a:ext cx="1567390" cy="54490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ctr">
              <a:noAutofit/>
            </a:bodyPr>
            <a:lstStyle/>
            <a:p>
              <a:pPr algn="ctr"/>
              <a:r>
                <a:rPr lang="en-US" sz="1600" b="1" i="1">
                  <a:solidFill>
                    <a:srgbClr val="002060"/>
                  </a:solidFill>
                </a:rPr>
                <a:t>Lower carbon fuel</a:t>
              </a:r>
            </a:p>
          </xdr:txBody>
        </xdr:sp>
        <xdr:sp macro="" textlink="">
          <xdr:nvSpPr>
            <xdr:cNvPr id="42" name="TextBox 41">
              <a:extLst>
                <a:ext uri="{FF2B5EF4-FFF2-40B4-BE49-F238E27FC236}">
                  <a16:creationId xmlns:a16="http://schemas.microsoft.com/office/drawing/2014/main" id="{8EA4585F-4115-4FF3-8FC2-F648702835FE}"/>
                </a:ext>
              </a:extLst>
            </xdr:cNvPr>
            <xdr:cNvSpPr txBox="1"/>
          </xdr:nvSpPr>
          <xdr:spPr>
            <a:xfrm>
              <a:off x="2602217" y="7074527"/>
              <a:ext cx="2064130" cy="50585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ctr">
              <a:noAutofit/>
            </a:bodyPr>
            <a:lstStyle/>
            <a:p>
              <a:pPr algn="ctr"/>
              <a:r>
                <a:rPr lang="en-US" sz="1600" b="1" i="1">
                  <a:solidFill>
                    <a:srgbClr val="002060"/>
                  </a:solidFill>
                </a:rPr>
                <a:t>Grid decarbonization</a:t>
              </a:r>
            </a:p>
          </xdr:txBody>
        </xdr:sp>
        <xdr:sp macro="" textlink="">
          <xdr:nvSpPr>
            <xdr:cNvPr id="43" name="TextBox 42">
              <a:extLst>
                <a:ext uri="{FF2B5EF4-FFF2-40B4-BE49-F238E27FC236}">
                  <a16:creationId xmlns:a16="http://schemas.microsoft.com/office/drawing/2014/main" id="{6559FC9A-31D1-4F1B-96CB-B37F9571134E}"/>
                </a:ext>
              </a:extLst>
            </xdr:cNvPr>
            <xdr:cNvSpPr txBox="1"/>
          </xdr:nvSpPr>
          <xdr:spPr>
            <a:xfrm>
              <a:off x="5133726" y="7090190"/>
              <a:ext cx="1766387" cy="50585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ctr">
              <a:noAutofit/>
            </a:bodyPr>
            <a:lstStyle/>
            <a:p>
              <a:pPr algn="ctr"/>
              <a:r>
                <a:rPr lang="en-US" sz="1600" b="1" i="1">
                  <a:solidFill>
                    <a:srgbClr val="002060"/>
                  </a:solidFill>
                </a:rPr>
                <a:t>Cleaner hydrogen mix</a:t>
              </a:r>
            </a:p>
          </xdr:txBody>
        </xdr:sp>
      </xdr:grpSp>
      <xdr:cxnSp macro="">
        <xdr:nvCxnSpPr>
          <xdr:cNvPr id="7" name="Straight Arrow Connector 6">
            <a:extLst>
              <a:ext uri="{FF2B5EF4-FFF2-40B4-BE49-F238E27FC236}">
                <a16:creationId xmlns:a16="http://schemas.microsoft.com/office/drawing/2014/main" id="{2DF35DAD-C544-4BE9-9D27-D290619857B1}"/>
              </a:ext>
            </a:extLst>
          </xdr:cNvPr>
          <xdr:cNvCxnSpPr/>
        </xdr:nvCxnSpPr>
        <xdr:spPr>
          <a:xfrm flipH="1" flipV="1">
            <a:off x="23442705" y="11100550"/>
            <a:ext cx="0" cy="1893794"/>
          </a:xfrm>
          <a:prstGeom prst="straightConnector1">
            <a:avLst/>
          </a:prstGeom>
          <a:ln w="28575">
            <a:solidFill>
              <a:srgbClr val="00B0F0"/>
            </a:solidFill>
            <a:prstDash val="sysDash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44" name="TextBox 43">
            <a:extLst>
              <a:ext uri="{FF2B5EF4-FFF2-40B4-BE49-F238E27FC236}">
                <a16:creationId xmlns:a16="http://schemas.microsoft.com/office/drawing/2014/main" id="{F8BB91B3-6B33-4E6E-94A9-05BDBDB162A8}"/>
              </a:ext>
            </a:extLst>
          </xdr:cNvPr>
          <xdr:cNvSpPr txBox="1"/>
        </xdr:nvSpPr>
        <xdr:spPr>
          <a:xfrm rot="16200000">
            <a:off x="22317129" y="11817213"/>
            <a:ext cx="1702159" cy="65879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ctr">
            <a:noAutofit/>
          </a:bodyPr>
          <a:lstStyle/>
          <a:p>
            <a:pPr algn="ctr"/>
            <a:r>
              <a:rPr lang="en-US" sz="1400" b="0" i="0">
                <a:solidFill>
                  <a:sysClr val="windowText" lastClr="000000"/>
                </a:solidFill>
              </a:rPr>
              <a:t>with deeper grid decarbonization</a:t>
            </a:r>
          </a:p>
        </xdr:txBody>
      </xdr:sp>
      <xdr:cxnSp macro="">
        <xdr:nvCxnSpPr>
          <xdr:cNvPr id="45" name="Straight Arrow Connector 44">
            <a:extLst>
              <a:ext uri="{FF2B5EF4-FFF2-40B4-BE49-F238E27FC236}">
                <a16:creationId xmlns:a16="http://schemas.microsoft.com/office/drawing/2014/main" id="{BB1AB9E3-127F-4F1E-B18C-F80F2B28BADB}"/>
              </a:ext>
            </a:extLst>
          </xdr:cNvPr>
          <xdr:cNvCxnSpPr/>
        </xdr:nvCxnSpPr>
        <xdr:spPr>
          <a:xfrm flipH="1" flipV="1">
            <a:off x="26396576" y="11100550"/>
            <a:ext cx="0" cy="1645920"/>
          </a:xfrm>
          <a:prstGeom prst="straightConnector1">
            <a:avLst/>
          </a:prstGeom>
          <a:ln w="28575">
            <a:solidFill>
              <a:srgbClr val="FFC000"/>
            </a:solidFill>
            <a:prstDash val="sysDash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46" name="TextBox 45">
            <a:extLst>
              <a:ext uri="{FF2B5EF4-FFF2-40B4-BE49-F238E27FC236}">
                <a16:creationId xmlns:a16="http://schemas.microsoft.com/office/drawing/2014/main" id="{C615338E-975E-49B5-B343-8DBF8AB91D4C}"/>
              </a:ext>
            </a:extLst>
          </xdr:cNvPr>
          <xdr:cNvSpPr txBox="1"/>
        </xdr:nvSpPr>
        <xdr:spPr>
          <a:xfrm rot="16200000">
            <a:off x="25259795" y="11667054"/>
            <a:ext cx="1702159" cy="65879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ctr">
            <a:noAutofit/>
          </a:bodyPr>
          <a:lstStyle/>
          <a:p>
            <a:pPr algn="ctr"/>
            <a:r>
              <a:rPr lang="en-US" sz="1400" b="0" i="0">
                <a:solidFill>
                  <a:sysClr val="windowText" lastClr="000000"/>
                </a:solidFill>
              </a:rPr>
              <a:t>with lower carbon hydrogen supply</a:t>
            </a:r>
          </a:p>
        </xdr:txBody>
      </xdr:sp>
    </xdr:grpSp>
    <xdr:clientData/>
  </xdr:twoCellAnchor>
  <xdr:twoCellAnchor>
    <xdr:from>
      <xdr:col>11</xdr:col>
      <xdr:colOff>638737</xdr:colOff>
      <xdr:row>48</xdr:row>
      <xdr:rowOff>11204</xdr:rowOff>
    </xdr:from>
    <xdr:to>
      <xdr:col>27</xdr:col>
      <xdr:colOff>313766</xdr:colOff>
      <xdr:row>98</xdr:row>
      <xdr:rowOff>145676</xdr:rowOff>
    </xdr:to>
    <xdr:grpSp>
      <xdr:nvGrpSpPr>
        <xdr:cNvPr id="9" name="Group 8">
          <a:extLst>
            <a:ext uri="{FF2B5EF4-FFF2-40B4-BE49-F238E27FC236}">
              <a16:creationId xmlns:a16="http://schemas.microsoft.com/office/drawing/2014/main" id="{C5E1DEFC-D634-464B-82B7-DCD5131C922B}"/>
            </a:ext>
          </a:extLst>
        </xdr:cNvPr>
        <xdr:cNvGrpSpPr/>
      </xdr:nvGrpSpPr>
      <xdr:grpSpPr>
        <a:xfrm>
          <a:off x="12306862" y="10984004"/>
          <a:ext cx="9723904" cy="9659472"/>
          <a:chOff x="8561296" y="10970557"/>
          <a:chExt cx="9659470" cy="9659472"/>
        </a:xfrm>
      </xdr:grpSpPr>
      <xdr:grpSp>
        <xdr:nvGrpSpPr>
          <xdr:cNvPr id="26" name="Group 25">
            <a:extLst>
              <a:ext uri="{FF2B5EF4-FFF2-40B4-BE49-F238E27FC236}">
                <a16:creationId xmlns:a16="http://schemas.microsoft.com/office/drawing/2014/main" id="{E8B231F0-2B43-46E8-8DB7-76F2DBE4BECC}"/>
              </a:ext>
            </a:extLst>
          </xdr:cNvPr>
          <xdr:cNvGrpSpPr/>
        </xdr:nvGrpSpPr>
        <xdr:grpSpPr>
          <a:xfrm>
            <a:off x="8583706" y="11486028"/>
            <a:ext cx="9144000" cy="9144001"/>
            <a:chOff x="0" y="5048249"/>
            <a:chExt cx="7228652" cy="7021220"/>
          </a:xfrm>
        </xdr:grpSpPr>
        <xdr:graphicFrame macro="">
          <xdr:nvGraphicFramePr>
            <xdr:cNvPr id="27" name="Chart 26">
              <a:extLst>
                <a:ext uri="{FF2B5EF4-FFF2-40B4-BE49-F238E27FC236}">
                  <a16:creationId xmlns:a16="http://schemas.microsoft.com/office/drawing/2014/main" id="{D79BA001-AA1E-401C-BE04-7F2DCC9556FA}"/>
                </a:ext>
              </a:extLst>
            </xdr:cNvPr>
            <xdr:cNvGraphicFramePr>
              <a:graphicFrameLocks/>
            </xdr:cNvGraphicFramePr>
          </xdr:nvGraphicFramePr>
          <xdr:xfrm>
            <a:off x="0" y="5048249"/>
            <a:ext cx="7228652" cy="7021220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2"/>
            </a:graphicData>
          </a:graphic>
        </xdr:graphicFrame>
        <xdr:sp macro="" textlink="">
          <xdr:nvSpPr>
            <xdr:cNvPr id="28" name="TextBox 27">
              <a:extLst>
                <a:ext uri="{FF2B5EF4-FFF2-40B4-BE49-F238E27FC236}">
                  <a16:creationId xmlns:a16="http://schemas.microsoft.com/office/drawing/2014/main" id="{D068209B-0285-41C9-97F8-8CC821DFE52E}"/>
                </a:ext>
              </a:extLst>
            </xdr:cNvPr>
            <xdr:cNvSpPr txBox="1"/>
          </xdr:nvSpPr>
          <xdr:spPr>
            <a:xfrm>
              <a:off x="706076" y="6541346"/>
              <a:ext cx="1850891" cy="28020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noAutofit/>
            </a:bodyPr>
            <a:lstStyle/>
            <a:p>
              <a:r>
                <a:rPr lang="en-US" sz="1400" b="1" i="1"/>
                <a:t>2016 Class-8 HDT Baseline</a:t>
              </a:r>
            </a:p>
          </xdr:txBody>
        </xdr:sp>
        <xdr:cxnSp macro="">
          <xdr:nvCxnSpPr>
            <xdr:cNvPr id="29" name="Straight Connector 28">
              <a:extLst>
                <a:ext uri="{FF2B5EF4-FFF2-40B4-BE49-F238E27FC236}">
                  <a16:creationId xmlns:a16="http://schemas.microsoft.com/office/drawing/2014/main" id="{E9DA91EF-B28C-48A0-8312-29955B0785A5}"/>
                </a:ext>
              </a:extLst>
            </xdr:cNvPr>
            <xdr:cNvCxnSpPr/>
          </xdr:nvCxnSpPr>
          <xdr:spPr>
            <a:xfrm flipV="1">
              <a:off x="2329169" y="6215055"/>
              <a:ext cx="0" cy="4058829"/>
            </a:xfrm>
            <a:prstGeom prst="line">
              <a:avLst/>
            </a:prstGeom>
            <a:ln w="12700"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30" name="Straight Connector 29">
              <a:extLst>
                <a:ext uri="{FF2B5EF4-FFF2-40B4-BE49-F238E27FC236}">
                  <a16:creationId xmlns:a16="http://schemas.microsoft.com/office/drawing/2014/main" id="{8CEC3BE1-4B17-49DC-ABC1-E4AF889AC574}"/>
                </a:ext>
              </a:extLst>
            </xdr:cNvPr>
            <xdr:cNvCxnSpPr/>
          </xdr:nvCxnSpPr>
          <xdr:spPr>
            <a:xfrm flipV="1">
              <a:off x="4717979" y="6215055"/>
              <a:ext cx="0" cy="4058829"/>
            </a:xfrm>
            <a:prstGeom prst="line">
              <a:avLst/>
            </a:prstGeom>
            <a:ln w="12700"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32" name="TextBox 31">
              <a:extLst>
                <a:ext uri="{FF2B5EF4-FFF2-40B4-BE49-F238E27FC236}">
                  <a16:creationId xmlns:a16="http://schemas.microsoft.com/office/drawing/2014/main" id="{E503A841-AB58-42CA-BDF8-0A3D0FE2B188}"/>
                </a:ext>
              </a:extLst>
            </xdr:cNvPr>
            <xdr:cNvSpPr txBox="1"/>
          </xdr:nvSpPr>
          <xdr:spPr>
            <a:xfrm>
              <a:off x="780767" y="5851150"/>
              <a:ext cx="1567390" cy="54490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ctr">
              <a:noAutofit/>
            </a:bodyPr>
            <a:lstStyle/>
            <a:p>
              <a:pPr algn="ctr"/>
              <a:r>
                <a:rPr lang="en-US" sz="1600" b="1" i="1">
                  <a:solidFill>
                    <a:srgbClr val="0070C0"/>
                  </a:solidFill>
                </a:rPr>
                <a:t>Lower carbon fuel</a:t>
              </a:r>
            </a:p>
          </xdr:txBody>
        </xdr:sp>
        <xdr:sp macro="" textlink="">
          <xdr:nvSpPr>
            <xdr:cNvPr id="33" name="TextBox 32">
              <a:extLst>
                <a:ext uri="{FF2B5EF4-FFF2-40B4-BE49-F238E27FC236}">
                  <a16:creationId xmlns:a16="http://schemas.microsoft.com/office/drawing/2014/main" id="{01AEE09D-C36C-473C-B198-DA0BEEA912E6}"/>
                </a:ext>
              </a:extLst>
            </xdr:cNvPr>
            <xdr:cNvSpPr txBox="1"/>
          </xdr:nvSpPr>
          <xdr:spPr>
            <a:xfrm>
              <a:off x="2664228" y="5852697"/>
              <a:ext cx="2064130" cy="50585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ctr">
              <a:noAutofit/>
            </a:bodyPr>
            <a:lstStyle/>
            <a:p>
              <a:pPr algn="ctr"/>
              <a:r>
                <a:rPr lang="en-US" sz="1600" b="1" i="1">
                  <a:solidFill>
                    <a:srgbClr val="0070C0"/>
                  </a:solidFill>
                </a:rPr>
                <a:t>Grid decarbonization</a:t>
              </a:r>
            </a:p>
          </xdr:txBody>
        </xdr:sp>
        <xdr:sp macro="" textlink="">
          <xdr:nvSpPr>
            <xdr:cNvPr id="34" name="TextBox 33">
              <a:extLst>
                <a:ext uri="{FF2B5EF4-FFF2-40B4-BE49-F238E27FC236}">
                  <a16:creationId xmlns:a16="http://schemas.microsoft.com/office/drawing/2014/main" id="{09853274-0ED7-4D63-BDAB-FFD65C63710B}"/>
                </a:ext>
              </a:extLst>
            </xdr:cNvPr>
            <xdr:cNvSpPr txBox="1"/>
          </xdr:nvSpPr>
          <xdr:spPr>
            <a:xfrm>
              <a:off x="5107150" y="5859756"/>
              <a:ext cx="1766387" cy="50585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ctr">
              <a:noAutofit/>
            </a:bodyPr>
            <a:lstStyle/>
            <a:p>
              <a:pPr algn="ctr"/>
              <a:r>
                <a:rPr lang="en-US" sz="1600" b="1" i="1">
                  <a:solidFill>
                    <a:srgbClr val="0070C0"/>
                  </a:solidFill>
                </a:rPr>
                <a:t>Cleaner hydrogen mix</a:t>
              </a:r>
            </a:p>
          </xdr:txBody>
        </xdr:sp>
      </xdr:grpSp>
      <xdr:sp macro="" textlink="">
        <xdr:nvSpPr>
          <xdr:cNvPr id="47" name="TextBox 46">
            <a:extLst>
              <a:ext uri="{FF2B5EF4-FFF2-40B4-BE49-F238E27FC236}">
                <a16:creationId xmlns:a16="http://schemas.microsoft.com/office/drawing/2014/main" id="{88867029-6DE7-40D1-9C5E-A3CD4BD140C2}"/>
              </a:ext>
            </a:extLst>
          </xdr:cNvPr>
          <xdr:cNvSpPr txBox="1"/>
        </xdr:nvSpPr>
        <xdr:spPr>
          <a:xfrm>
            <a:off x="8561296" y="10970557"/>
            <a:ext cx="9659470" cy="7096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ctr">
            <a:noAutofit/>
          </a:bodyPr>
          <a:lstStyle/>
          <a:p>
            <a:pPr algn="ctr"/>
            <a:r>
              <a:rPr lang="en-US" sz="2200" b="1" i="0" u="dbl">
                <a:solidFill>
                  <a:srgbClr val="00B050"/>
                </a:solidFill>
              </a:rPr>
              <a:t>Near-term</a:t>
            </a:r>
            <a:r>
              <a:rPr lang="en-US" sz="2200" b="1" i="0" u="dbl" baseline="0">
                <a:solidFill>
                  <a:srgbClr val="00B050"/>
                </a:solidFill>
              </a:rPr>
              <a:t> decarbonization prospects of China's class-8 heavy-duty trucks</a:t>
            </a:r>
            <a:endParaRPr lang="en-US" sz="2200" b="1" i="0" u="dbl">
              <a:solidFill>
                <a:srgbClr val="00B050"/>
              </a:solidFill>
            </a:endParaRP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139700</xdr:colOff>
      <xdr:row>29</xdr:row>
      <xdr:rowOff>0</xdr:rowOff>
    </xdr:from>
    <xdr:to>
      <xdr:col>23</xdr:col>
      <xdr:colOff>266700</xdr:colOff>
      <xdr:row>48</xdr:row>
      <xdr:rowOff>38100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336550</xdr:colOff>
      <xdr:row>35</xdr:row>
      <xdr:rowOff>120650</xdr:rowOff>
    </xdr:from>
    <xdr:to>
      <xdr:col>12</xdr:col>
      <xdr:colOff>349250</xdr:colOff>
      <xdr:row>56</xdr:row>
      <xdr:rowOff>25400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5634BEA-A141-4809-A68C-DB2E237CD443}" name="Table2" displayName="Table2" ref="C26:F32" totalsRowShown="0" headerRowDxfId="7" dataDxfId="6" headerRowBorderDxfId="4" tableBorderDxfId="5">
  <autoFilter ref="C26:F32" xr:uid="{00000000-0009-0000-0100-000002000000}">
    <filterColumn colId="0" hiddenButton="1"/>
    <filterColumn colId="1" hiddenButton="1"/>
    <filterColumn colId="2" hiddenButton="1"/>
    <filterColumn colId="3" hiddenButton="1"/>
  </autoFilter>
  <tableColumns count="4">
    <tableColumn id="1" xr3:uid="{9C749966-A272-4D04-A673-A75E7FC35FA4}" name="China hydrogen supplies in 2030" dataDxfId="3"/>
    <tableColumn id="2" xr3:uid="{B5368EFA-A756-44F0-8F90-48700100232D}" name="Scenario 1" dataDxfId="2"/>
    <tableColumn id="3" xr3:uid="{50933691-1B9B-4BED-9817-B49A673E81C6}" name="Scenario 2" dataDxfId="1"/>
    <tableColumn id="4" xr3:uid="{4AB9D73A-8AD0-4762-BCB8-1C591DE9111F}" name="Scenario 3" dataDxfId="0"/>
  </tableColumns>
  <tableStyleInfo name="TableStyleLight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2.bin"/><Relationship Id="rId4" Type="http://schemas.openxmlformats.org/officeDocument/2006/relationships/comments" Target="../comments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15EF58-F10E-4530-A139-02AF62091C88}">
  <dimension ref="C5:H32"/>
  <sheetViews>
    <sheetView showGridLines="0" tabSelected="1" workbookViewId="0">
      <selection activeCell="B24" sqref="B24"/>
    </sheetView>
  </sheetViews>
  <sheetFormatPr defaultColWidth="12.28515625" defaultRowHeight="15" x14ac:dyDescent="0.25"/>
  <cols>
    <col min="1" max="2" width="12.28515625" style="23"/>
    <col min="3" max="3" width="31.85546875" style="23" customWidth="1"/>
    <col min="4" max="4" width="12.28515625" style="23"/>
    <col min="5" max="5" width="14.42578125" style="23" customWidth="1"/>
    <col min="6" max="16384" width="12.28515625" style="23"/>
  </cols>
  <sheetData>
    <row r="5" spans="3:8" ht="15.75" thickBot="1" x14ac:dyDescent="0.3">
      <c r="D5" s="9"/>
      <c r="E5" s="9"/>
      <c r="F5" s="9"/>
      <c r="G5" s="9"/>
      <c r="H5" s="43"/>
    </row>
    <row r="6" spans="3:8" ht="15.75" thickBot="1" x14ac:dyDescent="0.3">
      <c r="C6" s="47" t="s">
        <v>214</v>
      </c>
      <c r="D6" s="48" t="s">
        <v>215</v>
      </c>
      <c r="E6" s="48" t="s">
        <v>216</v>
      </c>
      <c r="F6" s="48" t="s">
        <v>84</v>
      </c>
      <c r="G6" s="48" t="s">
        <v>85</v>
      </c>
    </row>
    <row r="7" spans="3:8" x14ac:dyDescent="0.25">
      <c r="C7" s="49" t="s">
        <v>217</v>
      </c>
      <c r="D7" s="50" t="s">
        <v>37</v>
      </c>
      <c r="E7" s="50" t="s">
        <v>48</v>
      </c>
      <c r="F7" s="50" t="s">
        <v>218</v>
      </c>
      <c r="G7" s="51" t="s">
        <v>100</v>
      </c>
    </row>
    <row r="8" spans="3:8" ht="29.1" customHeight="1" thickBot="1" x14ac:dyDescent="0.3">
      <c r="C8" s="52" t="s">
        <v>219</v>
      </c>
      <c r="D8" s="53" t="s">
        <v>220</v>
      </c>
      <c r="E8" s="53"/>
      <c r="F8" s="54" t="s">
        <v>49</v>
      </c>
      <c r="G8" s="55" t="s">
        <v>50</v>
      </c>
    </row>
    <row r="10" spans="3:8" ht="15.75" thickBot="1" x14ac:dyDescent="0.3"/>
    <row r="11" spans="3:8" ht="45.75" thickBot="1" x14ac:dyDescent="0.3">
      <c r="C11" s="47" t="s">
        <v>221</v>
      </c>
      <c r="D11" s="48" t="s">
        <v>51</v>
      </c>
      <c r="E11" s="48" t="s">
        <v>52</v>
      </c>
      <c r="F11" s="48" t="s">
        <v>65</v>
      </c>
      <c r="G11" s="3"/>
    </row>
    <row r="12" spans="3:8" x14ac:dyDescent="0.25">
      <c r="C12" s="56" t="s">
        <v>53</v>
      </c>
      <c r="D12" s="57">
        <v>0.50979661979525404</v>
      </c>
      <c r="E12" s="57">
        <v>0.51898840563847159</v>
      </c>
      <c r="F12" s="57">
        <v>0.37856582088861085</v>
      </c>
    </row>
    <row r="13" spans="3:8" x14ac:dyDescent="0.25">
      <c r="C13" s="58" t="s">
        <v>54</v>
      </c>
      <c r="D13" s="59">
        <v>4.7359417695325666E-4</v>
      </c>
      <c r="E13" s="59">
        <v>4.7006809635125513E-4</v>
      </c>
      <c r="F13" s="59">
        <v>6.3861430388348578E-4</v>
      </c>
    </row>
    <row r="14" spans="3:8" x14ac:dyDescent="0.25">
      <c r="C14" s="56" t="s">
        <v>57</v>
      </c>
      <c r="D14" s="57">
        <v>6.5003257188167227E-2</v>
      </c>
      <c r="E14" s="57">
        <v>7.9171781059676163E-2</v>
      </c>
      <c r="F14" s="57">
        <v>6.7154655584429013E-2</v>
      </c>
    </row>
    <row r="15" spans="3:8" x14ac:dyDescent="0.25">
      <c r="C15" s="58" t="s">
        <v>55</v>
      </c>
      <c r="D15" s="59">
        <v>6.2467268452241174E-2</v>
      </c>
      <c r="E15" s="59">
        <v>6.3155261244497954E-2</v>
      </c>
      <c r="F15" s="59">
        <v>8.2690321600994224E-2</v>
      </c>
    </row>
    <row r="16" spans="3:8" x14ac:dyDescent="0.25">
      <c r="C16" s="56" t="s">
        <v>56</v>
      </c>
      <c r="D16" s="57">
        <f>SUM(D17:D23)</f>
        <v>0.36225926038738432</v>
      </c>
      <c r="E16" s="57">
        <f t="shared" ref="E16:F16" si="0">SUM(E17:E23)</f>
        <v>0.33821546123355245</v>
      </c>
      <c r="F16" s="57">
        <f t="shared" si="0"/>
        <v>0.47095058762208247</v>
      </c>
    </row>
    <row r="17" spans="3:6" x14ac:dyDescent="0.25">
      <c r="C17" s="60" t="s">
        <v>58</v>
      </c>
      <c r="D17" s="59">
        <v>0.13902445494910828</v>
      </c>
      <c r="E17" s="59">
        <v>0.13569820260032678</v>
      </c>
      <c r="F17" s="59">
        <v>0.16430479886880192</v>
      </c>
    </row>
    <row r="18" spans="3:6" x14ac:dyDescent="0.25">
      <c r="C18" s="61" t="s">
        <v>59</v>
      </c>
      <c r="D18" s="57">
        <v>2.7013536736464491E-2</v>
      </c>
      <c r="E18" s="57">
        <v>2.4858881843839661E-2</v>
      </c>
      <c r="F18" s="57">
        <v>3.8293165965411442E-2</v>
      </c>
    </row>
    <row r="19" spans="3:6" x14ac:dyDescent="0.25">
      <c r="C19" s="60" t="s">
        <v>60</v>
      </c>
      <c r="D19" s="59">
        <v>9.6772386904826244E-2</v>
      </c>
      <c r="E19" s="59">
        <v>8.9119438341920293E-2</v>
      </c>
      <c r="F19" s="59">
        <v>0.12568640268454931</v>
      </c>
    </row>
    <row r="20" spans="3:6" x14ac:dyDescent="0.25">
      <c r="C20" s="61" t="s">
        <v>61</v>
      </c>
      <c r="D20" s="57">
        <v>2.6922158606886378E-4</v>
      </c>
      <c r="E20" s="57">
        <v>1.9740905501653542E-4</v>
      </c>
      <c r="F20" s="57">
        <v>5.6538365858150089E-4</v>
      </c>
    </row>
    <row r="21" spans="3:6" x14ac:dyDescent="0.25">
      <c r="C21" s="60" t="s">
        <v>62</v>
      </c>
      <c r="D21" s="59">
        <v>9.7261702050309068E-2</v>
      </c>
      <c r="E21" s="59">
        <v>8.7419961378188832E-2</v>
      </c>
      <c r="F21" s="59">
        <v>0.13896268790929739</v>
      </c>
    </row>
    <row r="22" spans="3:6" x14ac:dyDescent="0.25">
      <c r="C22" s="61" t="s">
        <v>63</v>
      </c>
      <c r="D22" s="57">
        <v>1.8599870891545952E-3</v>
      </c>
      <c r="E22" s="57">
        <v>9.0104529071903798E-4</v>
      </c>
      <c r="F22" s="57">
        <v>3.1026101340443884E-3</v>
      </c>
    </row>
    <row r="23" spans="3:6" ht="15.75" thickBot="1" x14ac:dyDescent="0.3">
      <c r="C23" s="62" t="s">
        <v>64</v>
      </c>
      <c r="D23" s="63">
        <v>5.7971071452784523E-5</v>
      </c>
      <c r="E23" s="63">
        <v>2.052272354132299E-5</v>
      </c>
      <c r="F23" s="63">
        <v>3.5538401396551486E-5</v>
      </c>
    </row>
    <row r="26" spans="3:6" ht="15.75" thickBot="1" x14ac:dyDescent="0.3">
      <c r="C26" s="64" t="s">
        <v>222</v>
      </c>
      <c r="D26" s="65" t="s">
        <v>97</v>
      </c>
      <c r="E26" s="65" t="s">
        <v>99</v>
      </c>
      <c r="F26" s="65" t="s">
        <v>98</v>
      </c>
    </row>
    <row r="27" spans="3:6" x14ac:dyDescent="0.25">
      <c r="C27" s="66" t="s">
        <v>223</v>
      </c>
      <c r="D27" s="67">
        <v>0.6</v>
      </c>
      <c r="E27" s="67">
        <v>0.45</v>
      </c>
      <c r="F27" s="67">
        <v>0</v>
      </c>
    </row>
    <row r="28" spans="3:6" x14ac:dyDescent="0.25">
      <c r="C28" s="66" t="s">
        <v>224</v>
      </c>
      <c r="D28" s="68">
        <v>0</v>
      </c>
      <c r="E28" s="67">
        <v>0.15</v>
      </c>
      <c r="F28" s="67">
        <v>0.6</v>
      </c>
    </row>
    <row r="29" spans="3:6" x14ac:dyDescent="0.25">
      <c r="C29" s="66" t="s">
        <v>225</v>
      </c>
      <c r="D29" s="68">
        <v>0</v>
      </c>
      <c r="E29" s="67">
        <v>0.13</v>
      </c>
      <c r="F29" s="67">
        <v>0.23</v>
      </c>
    </row>
    <row r="30" spans="3:6" x14ac:dyDescent="0.25">
      <c r="C30" s="66" t="s">
        <v>226</v>
      </c>
      <c r="D30" s="67">
        <v>0.23</v>
      </c>
      <c r="E30" s="67">
        <v>0.1</v>
      </c>
      <c r="F30" s="68">
        <v>0</v>
      </c>
    </row>
    <row r="31" spans="3:6" ht="30" x14ac:dyDescent="0.25">
      <c r="C31" s="66" t="s">
        <v>227</v>
      </c>
      <c r="D31" s="67">
        <v>0.15</v>
      </c>
      <c r="E31" s="67">
        <v>0.15</v>
      </c>
      <c r="F31" s="67">
        <v>0.15</v>
      </c>
    </row>
    <row r="32" spans="3:6" x14ac:dyDescent="0.25">
      <c r="C32" s="69" t="s">
        <v>43</v>
      </c>
      <c r="D32" s="70">
        <v>0.02</v>
      </c>
      <c r="E32" s="70">
        <v>0.02</v>
      </c>
      <c r="F32" s="70">
        <v>0.02</v>
      </c>
    </row>
  </sheetData>
  <mergeCells count="1">
    <mergeCell ref="D8:E8"/>
  </mergeCells>
  <pageMargins left="0.7" right="0.7" top="0.75" bottom="0.75" header="0.3" footer="0.3"/>
  <pageSetup orientation="portrait" r:id="rId1"/>
  <headerFooter>
    <oddFooter>&amp;L&amp;1#&amp;"Arial"&amp;10&amp;K000000Saudi Aramco: Public</oddFooter>
  </headerFooter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A95262-767B-41F7-9C99-3883646F4CFB}">
  <dimension ref="A1:F20"/>
  <sheetViews>
    <sheetView workbookViewId="0">
      <selection activeCell="B5" sqref="B5"/>
    </sheetView>
  </sheetViews>
  <sheetFormatPr defaultRowHeight="15" x14ac:dyDescent="0.25"/>
  <cols>
    <col min="1" max="1" width="31.140625" style="23" customWidth="1"/>
    <col min="2" max="16384" width="9.140625" style="23"/>
  </cols>
  <sheetData>
    <row r="1" spans="1:6" x14ac:dyDescent="0.25">
      <c r="A1" s="23" t="s">
        <v>124</v>
      </c>
      <c r="B1" s="23" t="s">
        <v>110</v>
      </c>
    </row>
    <row r="2" spans="1:6" x14ac:dyDescent="0.25">
      <c r="A2" s="23" t="s">
        <v>111</v>
      </c>
      <c r="B2" s="23">
        <v>190.983</v>
      </c>
    </row>
    <row r="3" spans="1:6" x14ac:dyDescent="0.25">
      <c r="A3" s="23" t="s">
        <v>112</v>
      </c>
      <c r="B3" s="23">
        <v>192.75399999999999</v>
      </c>
    </row>
    <row r="4" spans="1:6" x14ac:dyDescent="0.25">
      <c r="A4" s="23" t="s">
        <v>113</v>
      </c>
      <c r="B4" s="23">
        <v>193.59899999999999</v>
      </c>
    </row>
    <row r="5" spans="1:6" x14ac:dyDescent="0.25">
      <c r="A5" s="23" t="s">
        <v>114</v>
      </c>
      <c r="B5" s="7">
        <v>113.49</v>
      </c>
      <c r="D5" s="7">
        <f>B5*3.6*94/1000</f>
        <v>38.405015999999996</v>
      </c>
      <c r="E5" s="7">
        <f>D5+2.4</f>
        <v>40.805015999999995</v>
      </c>
      <c r="F5" s="23">
        <v>150</v>
      </c>
    </row>
    <row r="6" spans="1:6" x14ac:dyDescent="0.25">
      <c r="A6" s="23" t="s">
        <v>115</v>
      </c>
      <c r="B6" s="7">
        <v>114.072</v>
      </c>
      <c r="D6" s="7">
        <f t="shared" ref="D6:D7" si="0">B6*3.6*94/1000</f>
        <v>38.601964800000005</v>
      </c>
      <c r="F6" s="23">
        <v>300</v>
      </c>
    </row>
    <row r="7" spans="1:6" x14ac:dyDescent="0.25">
      <c r="A7" s="23" t="s">
        <v>116</v>
      </c>
      <c r="B7" s="7">
        <v>114.494</v>
      </c>
      <c r="D7" s="7">
        <f t="shared" si="0"/>
        <v>38.744769599999998</v>
      </c>
      <c r="F7" s="23">
        <v>600</v>
      </c>
    </row>
    <row r="8" spans="1:6" x14ac:dyDescent="0.25">
      <c r="A8" s="23" t="s">
        <v>79</v>
      </c>
      <c r="B8" s="23">
        <v>64.882000000000005</v>
      </c>
      <c r="D8" s="7">
        <f>B8*150*1.6*'Distance &amp; Payload'!Q7/1000</f>
        <v>259.57990560000007</v>
      </c>
      <c r="F8" s="23">
        <v>900</v>
      </c>
    </row>
    <row r="9" spans="1:6" x14ac:dyDescent="0.25">
      <c r="A9" s="23" t="s">
        <v>117</v>
      </c>
      <c r="B9" s="23">
        <v>72.888000000000005</v>
      </c>
      <c r="D9" s="7">
        <f>B9*300*1.6*'Distance &amp; Payload'!Q8/1000</f>
        <v>519.1958016000001</v>
      </c>
    </row>
    <row r="10" spans="1:6" x14ac:dyDescent="0.25">
      <c r="A10" s="23" t="s">
        <v>13</v>
      </c>
      <c r="B10" s="23">
        <v>102.035</v>
      </c>
      <c r="D10" s="7">
        <f>B10*600*1.6*'Distance &amp; Payload'!Q9/1000</f>
        <v>1097.08032</v>
      </c>
    </row>
    <row r="11" spans="1:6" x14ac:dyDescent="0.25">
      <c r="A11" s="23" t="s">
        <v>118</v>
      </c>
      <c r="B11" s="23">
        <v>96.064999999999998</v>
      </c>
      <c r="D11" s="7"/>
    </row>
    <row r="12" spans="1:6" x14ac:dyDescent="0.25">
      <c r="A12" s="23" t="s">
        <v>119</v>
      </c>
      <c r="B12" s="23">
        <v>97.046000000000006</v>
      </c>
      <c r="D12" s="7"/>
    </row>
    <row r="13" spans="1:6" x14ac:dyDescent="0.25">
      <c r="A13" s="23" t="s">
        <v>120</v>
      </c>
      <c r="B13" s="23">
        <v>98.932000000000002</v>
      </c>
      <c r="D13" s="7"/>
    </row>
    <row r="17" spans="1:1" x14ac:dyDescent="0.25">
      <c r="A17" s="1"/>
    </row>
    <row r="18" spans="1:1" x14ac:dyDescent="0.25">
      <c r="A18" s="2"/>
    </row>
    <row r="19" spans="1:1" x14ac:dyDescent="0.25">
      <c r="A19" s="2"/>
    </row>
    <row r="20" spans="1:1" x14ac:dyDescent="0.25">
      <c r="A20" s="2"/>
    </row>
  </sheetData>
  <pageMargins left="0.7" right="0.7" top="0.75" bottom="0.75" header="0.3" footer="0.3"/>
  <pageSetup orientation="portrait" r:id="rId1"/>
  <headerFooter>
    <oddFooter>&amp;L&amp;1#&amp;"Arial"&amp;10&amp;K000000Saudi Aramco: Public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F2:R24"/>
  <sheetViews>
    <sheetView zoomScaleNormal="100" workbookViewId="0">
      <selection activeCell="R26" sqref="R26"/>
    </sheetView>
  </sheetViews>
  <sheetFormatPr defaultRowHeight="15" x14ac:dyDescent="0.25"/>
  <cols>
    <col min="6" max="6" width="19.5703125" bestFit="1" customWidth="1"/>
    <col min="7" max="7" width="11.85546875" bestFit="1" customWidth="1"/>
    <col min="11" max="11" width="12.140625" bestFit="1" customWidth="1"/>
    <col min="14" max="14" width="23" bestFit="1" customWidth="1"/>
  </cols>
  <sheetData>
    <row r="2" spans="6:18" x14ac:dyDescent="0.25">
      <c r="G2" s="44" t="s">
        <v>81</v>
      </c>
      <c r="H2" s="44"/>
      <c r="I2" s="44"/>
      <c r="J2" s="44"/>
      <c r="K2" s="44"/>
      <c r="O2">
        <f>150*1.6</f>
        <v>240</v>
      </c>
      <c r="P2">
        <f>300*1.6</f>
        <v>480</v>
      </c>
      <c r="Q2">
        <f>600*1.6</f>
        <v>960</v>
      </c>
      <c r="R2" t="s">
        <v>121</v>
      </c>
    </row>
    <row r="3" spans="6:18" x14ac:dyDescent="0.25">
      <c r="G3" s="46" t="s">
        <v>106</v>
      </c>
      <c r="H3" s="44" t="s">
        <v>107</v>
      </c>
      <c r="I3" s="44"/>
      <c r="J3" s="44"/>
      <c r="K3" s="46" t="s">
        <v>50</v>
      </c>
      <c r="O3" t="s">
        <v>80</v>
      </c>
      <c r="P3" t="s">
        <v>67</v>
      </c>
      <c r="Q3" t="s">
        <v>68</v>
      </c>
    </row>
    <row r="4" spans="6:18" x14ac:dyDescent="0.25">
      <c r="G4" s="46"/>
      <c r="H4" t="s">
        <v>80</v>
      </c>
      <c r="I4" t="s">
        <v>67</v>
      </c>
      <c r="J4" t="s">
        <v>68</v>
      </c>
      <c r="K4" s="46"/>
      <c r="N4" t="s">
        <v>105</v>
      </c>
      <c r="O4" s="24">
        <v>260</v>
      </c>
      <c r="P4" s="24">
        <v>520</v>
      </c>
      <c r="Q4" s="24">
        <v>1100</v>
      </c>
    </row>
    <row r="5" spans="6:18" x14ac:dyDescent="0.25">
      <c r="F5" t="s">
        <v>102</v>
      </c>
      <c r="G5" s="15">
        <v>4.0315446473446137</v>
      </c>
      <c r="H5" s="15">
        <v>3.9908016952668857</v>
      </c>
      <c r="I5" s="15">
        <v>4.4855291781512108</v>
      </c>
      <c r="J5" s="15">
        <v>5.9367297946118969</v>
      </c>
      <c r="K5" s="15">
        <v>5.3446292369425503</v>
      </c>
      <c r="N5" s="23" t="s">
        <v>125</v>
      </c>
      <c r="O5" s="24">
        <v>300</v>
      </c>
      <c r="P5" s="24"/>
      <c r="Q5" s="24"/>
    </row>
    <row r="6" spans="6:18" x14ac:dyDescent="0.25">
      <c r="F6" t="s">
        <v>45</v>
      </c>
      <c r="G6" s="22">
        <v>0</v>
      </c>
      <c r="H6" s="15">
        <v>5.0718496713577164</v>
      </c>
      <c r="I6" s="15">
        <v>11.416879712891649</v>
      </c>
      <c r="J6" s="15">
        <v>31.307714020726642</v>
      </c>
      <c r="N6" t="s">
        <v>108</v>
      </c>
      <c r="O6" s="26">
        <f>O4*1000/$O$5</f>
        <v>866.66666666666663</v>
      </c>
      <c r="P6" s="26">
        <f>P4*1000/$O$5</f>
        <v>1733.3333333333333</v>
      </c>
      <c r="Q6" s="26">
        <f>Q4*1000/$O$5</f>
        <v>3666.6666666666665</v>
      </c>
    </row>
    <row r="7" spans="6:18" x14ac:dyDescent="0.25">
      <c r="F7" t="s">
        <v>212</v>
      </c>
      <c r="G7" s="15">
        <v>0.15225665940693586</v>
      </c>
      <c r="H7" s="15">
        <v>0.16094603005245842</v>
      </c>
      <c r="I7" s="15">
        <v>0.1808980172490442</v>
      </c>
      <c r="J7" s="15">
        <v>0.23942384635902908</v>
      </c>
      <c r="K7" s="15">
        <v>0.13396796398394939</v>
      </c>
      <c r="O7" s="24"/>
      <c r="P7" s="24"/>
      <c r="Q7" s="24"/>
    </row>
    <row r="8" spans="6:18" x14ac:dyDescent="0.25">
      <c r="F8" t="s">
        <v>103</v>
      </c>
      <c r="G8" s="15">
        <v>-1.7538013067515497</v>
      </c>
      <c r="H8" s="15">
        <v>-1.7317477253193443</v>
      </c>
      <c r="I8" s="15">
        <v>-1.946427195400255</v>
      </c>
      <c r="J8" s="15">
        <v>-2.5761536409709258</v>
      </c>
      <c r="K8" s="15">
        <v>-1.8185375004077904</v>
      </c>
      <c r="N8" t="s">
        <v>126</v>
      </c>
      <c r="O8" s="26">
        <f>H19*1000/O4</f>
        <v>260.14687391240966</v>
      </c>
      <c r="P8" s="26">
        <f>I19*1000/P4</f>
        <v>260.65614606048013</v>
      </c>
      <c r="Q8" s="26">
        <f>J19*1000/Q4</f>
        <v>255.01556147791885</v>
      </c>
    </row>
    <row r="9" spans="6:18" x14ac:dyDescent="0.25">
      <c r="F9" t="s">
        <v>66</v>
      </c>
      <c r="G9" s="15">
        <f>SUM(G5:G8)</f>
        <v>2.4299999999999997</v>
      </c>
      <c r="H9" s="15">
        <f>SUM(H5:H8)</f>
        <v>7.4918496713577163</v>
      </c>
      <c r="I9" s="15">
        <f>SUM(I5:I8)</f>
        <v>14.136879712891652</v>
      </c>
      <c r="J9" s="15">
        <f>SUM(J5:J8)</f>
        <v>34.907714020726644</v>
      </c>
      <c r="K9" s="15">
        <f>SUM(K5:K8)</f>
        <v>3.6600597005187097</v>
      </c>
      <c r="N9" s="23" t="s">
        <v>127</v>
      </c>
      <c r="O9" s="26">
        <f>H19*1000/O6</f>
        <v>78.044062173722907</v>
      </c>
      <c r="P9" s="26">
        <f>I19*1000/P6</f>
        <v>78.196843818144032</v>
      </c>
      <c r="Q9" s="26">
        <f>J19*1000/Q6</f>
        <v>76.50466844337565</v>
      </c>
    </row>
    <row r="15" spans="6:18" x14ac:dyDescent="0.25">
      <c r="G15" s="44" t="s">
        <v>104</v>
      </c>
      <c r="H15" s="44"/>
      <c r="I15" s="44"/>
      <c r="J15" s="44"/>
      <c r="K15" s="44"/>
    </row>
    <row r="16" spans="6:18" x14ac:dyDescent="0.25">
      <c r="G16" s="46" t="s">
        <v>106</v>
      </c>
      <c r="H16" s="44" t="s">
        <v>107</v>
      </c>
      <c r="I16" s="44"/>
      <c r="J16" s="44"/>
      <c r="K16" s="46" t="s">
        <v>50</v>
      </c>
    </row>
    <row r="17" spans="6:11" x14ac:dyDescent="0.25">
      <c r="G17" s="46"/>
      <c r="H17" t="s">
        <v>80</v>
      </c>
      <c r="I17" t="s">
        <v>67</v>
      </c>
      <c r="J17" t="s">
        <v>68</v>
      </c>
      <c r="K17" s="46"/>
    </row>
    <row r="18" spans="6:11" x14ac:dyDescent="0.25">
      <c r="F18" t="s">
        <v>102</v>
      </c>
      <c r="G18" s="15">
        <f>G5*800000*'Distance &amp; Payload'!$P$7/1000000</f>
        <v>57.73171934997486</v>
      </c>
      <c r="H18" s="15">
        <f>H5*800000*'Distance &amp; Payload'!$Q$7/1000000</f>
        <v>53.221331408079195</v>
      </c>
      <c r="I18" s="15">
        <f>I5*800000*'Distance &amp; Payload'!$Q$8/1000000</f>
        <v>53.252202403011175</v>
      </c>
      <c r="J18" s="15">
        <f>J5*800000*'Distance &amp; Payload'!$Q$9/1000000</f>
        <v>53.19309895972259</v>
      </c>
      <c r="K18" s="15">
        <f>K5*800000*'Distance &amp; Payload'!$R$7/1000000</f>
        <v>80.383223723615956</v>
      </c>
    </row>
    <row r="19" spans="6:11" x14ac:dyDescent="0.25">
      <c r="F19" t="s">
        <v>45</v>
      </c>
      <c r="G19" s="15">
        <f>G6*800000*'Distance &amp; Payload'!$P$7/1000000</f>
        <v>0</v>
      </c>
      <c r="H19" s="15">
        <f>H6*800000*'Distance &amp; Payload'!$Q$7/1000000</f>
        <v>67.638187217226516</v>
      </c>
      <c r="I19" s="15">
        <f>I6*800000*'Distance &amp; Payload'!$Q$8/1000000</f>
        <v>135.54119595144965</v>
      </c>
      <c r="J19" s="15">
        <f>J6*800000*'Distance &amp; Payload'!$Q$9/1000000</f>
        <v>280.51711762571074</v>
      </c>
      <c r="K19" s="15">
        <f>K6*800000*'Distance &amp; Payload'!$R$7/1000000</f>
        <v>0</v>
      </c>
    </row>
    <row r="20" spans="6:11" x14ac:dyDescent="0.25">
      <c r="F20" t="s">
        <v>213</v>
      </c>
      <c r="G20" s="15">
        <f>G7*800000*'Distance &amp; Payload'!$P$7/1000000</f>
        <v>2.1803153627073217</v>
      </c>
      <c r="H20" s="15">
        <f>H7*800000*'Distance &amp; Payload'!$Q$7/1000000</f>
        <v>2.1463762567795857</v>
      </c>
      <c r="I20" s="15">
        <f>I7*800000*'Distance &amp; Payload'!$Q$8/1000000</f>
        <v>2.1476212607806531</v>
      </c>
      <c r="J20" s="15">
        <f>J7*800000*'Distance &amp; Payload'!$Q$9/1000000</f>
        <v>2.1452376633769004</v>
      </c>
      <c r="K20" s="15">
        <f>K7*800000*'Distance &amp; Payload'!$R$7/1000000</f>
        <v>2.0148781783185989</v>
      </c>
    </row>
    <row r="21" spans="6:11" x14ac:dyDescent="0.25">
      <c r="F21" t="s">
        <v>103</v>
      </c>
      <c r="G21" s="15">
        <f>G8*800000*'Distance &amp; Payload'!$P$7/1000000</f>
        <v>-25.11443471268219</v>
      </c>
      <c r="H21" s="15">
        <f>H8*800000*'Distance &amp; Payload'!$Q$7/1000000</f>
        <v>-23.094587664858778</v>
      </c>
      <c r="I21" s="15">
        <f>I8*800000*'Distance &amp; Payload'!$Q$8/1000000</f>
        <v>-23.107983663791824</v>
      </c>
      <c r="J21" s="15">
        <f>J8*800000*'Distance &amp; Payload'!$Q$9/1000000</f>
        <v>-23.082336623099494</v>
      </c>
      <c r="K21" s="15">
        <f>K8*800000*'Distance &amp; Payload'!$R$7/1000000</f>
        <v>-27.350804006133171</v>
      </c>
    </row>
    <row r="22" spans="6:11" x14ac:dyDescent="0.25">
      <c r="F22" t="s">
        <v>109</v>
      </c>
      <c r="G22" s="15">
        <f>G9*800000*'Distance &amp; Payload'!$P$7/1000000</f>
        <v>34.797599999999996</v>
      </c>
      <c r="H22" s="15">
        <f>H9*800000*'Distance &amp; Payload'!$Q$7/1000000</f>
        <v>99.911307217226522</v>
      </c>
      <c r="I22" s="15">
        <f>I9*800000*'Distance &amp; Payload'!$Q$8/1000000</f>
        <v>167.83303595144966</v>
      </c>
      <c r="J22" s="15">
        <f>J9*800000*'Distance &amp; Payload'!$Q$9/1000000</f>
        <v>312.77311762571071</v>
      </c>
      <c r="K22" s="15">
        <f>K9*800000*'Distance &amp; Payload'!$R$7/1000000</f>
        <v>55.047297895801393</v>
      </c>
    </row>
    <row r="24" spans="6:11" x14ac:dyDescent="0.25">
      <c r="G24" s="11"/>
      <c r="H24" s="11"/>
      <c r="I24" s="11"/>
      <c r="J24" s="11"/>
      <c r="K24" s="11"/>
    </row>
  </sheetData>
  <mergeCells count="8">
    <mergeCell ref="H3:J3"/>
    <mergeCell ref="G2:K2"/>
    <mergeCell ref="G15:K15"/>
    <mergeCell ref="H16:J16"/>
    <mergeCell ref="G16:G17"/>
    <mergeCell ref="K16:K17"/>
    <mergeCell ref="G3:G4"/>
    <mergeCell ref="K3:K4"/>
  </mergeCells>
  <pageMargins left="0.7" right="0.7" top="0.75" bottom="0.75" header="0.3" footer="0.3"/>
  <pageSetup orientation="portrait" r:id="rId1"/>
  <headerFooter>
    <oddFooter>&amp;L&amp;1#&amp;"Arial"&amp;10&amp;K000000Saudi Aramco: Public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U64"/>
  <sheetViews>
    <sheetView zoomScale="115" zoomScaleNormal="115" workbookViewId="0">
      <selection activeCell="M10" sqref="M10"/>
    </sheetView>
  </sheetViews>
  <sheetFormatPr defaultRowHeight="15" x14ac:dyDescent="0.25"/>
  <cols>
    <col min="1" max="1" width="11.85546875" bestFit="1" customWidth="1"/>
    <col min="3" max="3" width="26.140625" bestFit="1" customWidth="1"/>
    <col min="4" max="4" width="14.5703125" bestFit="1" customWidth="1"/>
    <col min="8" max="8" width="19.140625" bestFit="1" customWidth="1"/>
    <col min="9" max="9" width="14.5703125" bestFit="1" customWidth="1"/>
  </cols>
  <sheetData>
    <row r="1" spans="1:16" s="23" customFormat="1" x14ac:dyDescent="0.25"/>
    <row r="2" spans="1:16" x14ac:dyDescent="0.25">
      <c r="D2" s="24" t="s">
        <v>124</v>
      </c>
      <c r="E2" s="24"/>
    </row>
    <row r="3" spans="1:16" x14ac:dyDescent="0.25">
      <c r="A3" t="s">
        <v>122</v>
      </c>
      <c r="B3" s="27" t="s">
        <v>121</v>
      </c>
      <c r="D3" s="24" t="s">
        <v>110</v>
      </c>
      <c r="E3" s="24" t="s">
        <v>123</v>
      </c>
      <c r="H3" t="s">
        <v>128</v>
      </c>
      <c r="I3" t="s">
        <v>129</v>
      </c>
      <c r="J3" s="28" t="s">
        <v>130</v>
      </c>
      <c r="K3" t="s">
        <v>134</v>
      </c>
      <c r="L3" s="23" t="s">
        <v>135</v>
      </c>
      <c r="M3" t="s">
        <v>136</v>
      </c>
      <c r="N3" t="s">
        <v>137</v>
      </c>
    </row>
    <row r="4" spans="1:16" x14ac:dyDescent="0.25">
      <c r="A4" s="25">
        <f>' 2016 gCO2eqkm'!F2/' 2016 gCO2eqtonkm'!F2</f>
        <v>16.415841584158414</v>
      </c>
      <c r="B4">
        <f>150*1.6</f>
        <v>240</v>
      </c>
      <c r="C4" s="23" t="s">
        <v>111</v>
      </c>
      <c r="D4" s="26">
        <v>190.983</v>
      </c>
      <c r="E4" s="26">
        <f>D4*B4*A4/1000</f>
        <v>752.43520158415834</v>
      </c>
      <c r="G4" s="7"/>
      <c r="H4" s="26">
        <f>1/D4*1000/3.6*36</f>
        <v>52.360681317185303</v>
      </c>
      <c r="I4" s="26">
        <f>H4/1.6*3.8</f>
        <v>124.35661812831508</v>
      </c>
      <c r="J4" s="15">
        <f>I4/A4</f>
        <v>7.5754031549817995</v>
      </c>
      <c r="K4" s="15">
        <f>100/H4</f>
        <v>1.9098299999999999</v>
      </c>
      <c r="L4" s="15">
        <f>K4*A4</f>
        <v>31.351466732673263</v>
      </c>
      <c r="P4">
        <f>E4*3.6/B4</f>
        <v>11.286528023762376</v>
      </c>
    </row>
    <row r="5" spans="1:16" x14ac:dyDescent="0.25">
      <c r="A5" s="25">
        <f>A4</f>
        <v>16.415841584158414</v>
      </c>
      <c r="B5" s="23">
        <f>300*1.6</f>
        <v>480</v>
      </c>
      <c r="C5" s="23" t="s">
        <v>112</v>
      </c>
      <c r="D5" s="26">
        <v>192.75399999999999</v>
      </c>
      <c r="E5" s="26">
        <f t="shared" ref="E5:E15" si="0">D5*B5*A5/1000</f>
        <v>1518.8251817821781</v>
      </c>
      <c r="G5" s="7"/>
      <c r="H5" s="26">
        <f t="shared" ref="H5:H15" si="1">1/D5*1000/3.6*36</f>
        <v>51.879597829357621</v>
      </c>
      <c r="I5" s="26">
        <f t="shared" ref="I5:I15" si="2">H5/1.6*3.8</f>
        <v>123.21404484472433</v>
      </c>
      <c r="J5" s="15">
        <f t="shared" ref="J5:J15" si="3">I5/A5</f>
        <v>7.5058012842684914</v>
      </c>
      <c r="K5" s="15">
        <f t="shared" ref="K5:K15" si="4">100/H5</f>
        <v>1.9275400000000003</v>
      </c>
      <c r="L5" s="15">
        <f t="shared" ref="L5:L15" si="5">K5*A5</f>
        <v>31.642191287128714</v>
      </c>
      <c r="P5" s="23">
        <f t="shared" ref="P5:P15" si="6">E5*3.6/B5</f>
        <v>11.391188863366335</v>
      </c>
    </row>
    <row r="6" spans="1:16" x14ac:dyDescent="0.25">
      <c r="A6" s="25">
        <f>A5</f>
        <v>16.415841584158414</v>
      </c>
      <c r="B6" s="23">
        <f>600*1.6</f>
        <v>960</v>
      </c>
      <c r="C6" s="23" t="s">
        <v>113</v>
      </c>
      <c r="D6" s="26">
        <v>193.59899999999999</v>
      </c>
      <c r="E6" s="26">
        <f t="shared" si="0"/>
        <v>3050.9668942574253</v>
      </c>
      <c r="G6" s="7"/>
      <c r="H6" s="26">
        <f t="shared" si="1"/>
        <v>51.653159365492591</v>
      </c>
      <c r="I6" s="26">
        <f t="shared" si="2"/>
        <v>122.6762534930449</v>
      </c>
      <c r="J6" s="15">
        <f t="shared" si="3"/>
        <v>7.4730407737017703</v>
      </c>
      <c r="K6" s="15">
        <f t="shared" si="4"/>
        <v>1.9359899999999999</v>
      </c>
      <c r="L6" s="15">
        <f t="shared" si="5"/>
        <v>31.780905148514847</v>
      </c>
      <c r="P6" s="23">
        <f t="shared" si="6"/>
        <v>11.441125853465344</v>
      </c>
    </row>
    <row r="7" spans="1:16" x14ac:dyDescent="0.25">
      <c r="A7" s="25">
        <f>'Distance &amp; Payload'!P7</f>
        <v>17.899999999999999</v>
      </c>
      <c r="B7" s="23">
        <f>150*1.6</f>
        <v>240</v>
      </c>
      <c r="C7" s="23" t="s">
        <v>114</v>
      </c>
      <c r="D7" s="26">
        <v>113.49</v>
      </c>
      <c r="E7" s="26">
        <f t="shared" si="0"/>
        <v>487.5530399999999</v>
      </c>
      <c r="F7" s="26"/>
      <c r="G7" s="7"/>
      <c r="H7" s="26">
        <f t="shared" si="1"/>
        <v>88.113490175345845</v>
      </c>
      <c r="I7" s="26">
        <f t="shared" si="2"/>
        <v>209.26953916644635</v>
      </c>
      <c r="J7" s="15">
        <f t="shared" si="3"/>
        <v>11.691035707622701</v>
      </c>
      <c r="K7" s="15">
        <f t="shared" si="4"/>
        <v>1.1349</v>
      </c>
      <c r="L7" s="15">
        <f t="shared" si="5"/>
        <v>20.314709999999998</v>
      </c>
      <c r="P7" s="23">
        <f t="shared" si="6"/>
        <v>7.3132955999999991</v>
      </c>
    </row>
    <row r="8" spans="1:16" x14ac:dyDescent="0.25">
      <c r="A8" s="25">
        <f>'Distance &amp; Payload'!P8</f>
        <v>17.899999999999999</v>
      </c>
      <c r="B8" s="23">
        <f>300*1.6</f>
        <v>480</v>
      </c>
      <c r="C8" s="23" t="s">
        <v>115</v>
      </c>
      <c r="D8" s="26">
        <v>114.072</v>
      </c>
      <c r="E8" s="26">
        <f t="shared" si="0"/>
        <v>980.10662399999978</v>
      </c>
      <c r="F8" s="26"/>
      <c r="G8" s="7"/>
      <c r="H8" s="26">
        <f t="shared" si="1"/>
        <v>87.663931552002254</v>
      </c>
      <c r="I8" s="26">
        <f t="shared" si="2"/>
        <v>208.20183743600532</v>
      </c>
      <c r="J8" s="15">
        <f t="shared" si="3"/>
        <v>11.631387566257281</v>
      </c>
      <c r="K8" s="15">
        <f t="shared" si="4"/>
        <v>1.14072</v>
      </c>
      <c r="L8" s="15">
        <f t="shared" si="5"/>
        <v>20.418887999999999</v>
      </c>
      <c r="P8" s="23">
        <f t="shared" si="6"/>
        <v>7.3507996799999979</v>
      </c>
    </row>
    <row r="9" spans="1:16" x14ac:dyDescent="0.25">
      <c r="A9" s="25">
        <f>'Distance &amp; Payload'!P9</f>
        <v>17.8</v>
      </c>
      <c r="B9" s="23">
        <f>600*1.6</f>
        <v>960</v>
      </c>
      <c r="C9" s="23" t="s">
        <v>116</v>
      </c>
      <c r="D9" s="26">
        <v>114.494</v>
      </c>
      <c r="E9" s="26">
        <f t="shared" si="0"/>
        <v>1956.4734720000001</v>
      </c>
      <c r="F9" s="26"/>
      <c r="G9" s="7"/>
      <c r="H9" s="26">
        <f t="shared" si="1"/>
        <v>87.340821353083996</v>
      </c>
      <c r="I9" s="26">
        <f t="shared" si="2"/>
        <v>207.43445071357448</v>
      </c>
      <c r="J9" s="15">
        <f t="shared" si="3"/>
        <v>11.653620826605307</v>
      </c>
      <c r="K9" s="15">
        <f t="shared" si="4"/>
        <v>1.1449400000000001</v>
      </c>
      <c r="L9" s="15">
        <f t="shared" si="5"/>
        <v>20.379932000000004</v>
      </c>
      <c r="P9" s="23">
        <f t="shared" si="6"/>
        <v>7.3367755200000007</v>
      </c>
    </row>
    <row r="10" spans="1:16" x14ac:dyDescent="0.25">
      <c r="A10" s="25">
        <f>'Distance &amp; Payload'!Q7</f>
        <v>16.670000000000002</v>
      </c>
      <c r="B10" s="23">
        <f>150*1.6</f>
        <v>240</v>
      </c>
      <c r="C10" s="23" t="s">
        <v>79</v>
      </c>
      <c r="D10" s="26">
        <v>64.882000000000005</v>
      </c>
      <c r="E10" s="26">
        <f t="shared" si="0"/>
        <v>259.57990560000002</v>
      </c>
      <c r="F10" s="26"/>
      <c r="G10" s="7">
        <f>E10/150</f>
        <v>1.730532704</v>
      </c>
      <c r="H10" s="26">
        <f t="shared" si="1"/>
        <v>154.1259517277519</v>
      </c>
      <c r="I10" s="26">
        <f t="shared" si="2"/>
        <v>366.04913535341069</v>
      </c>
      <c r="J10" s="15">
        <f t="shared" si="3"/>
        <v>21.958556409922654</v>
      </c>
      <c r="K10" s="15">
        <f t="shared" si="4"/>
        <v>0.64882000000000006</v>
      </c>
      <c r="L10" s="15">
        <f t="shared" si="5"/>
        <v>10.815829400000002</v>
      </c>
      <c r="P10" s="23">
        <f t="shared" si="6"/>
        <v>3.8936985840000005</v>
      </c>
    </row>
    <row r="11" spans="1:16" x14ac:dyDescent="0.25">
      <c r="A11" s="25">
        <f>'Distance &amp; Payload'!Q8</f>
        <v>14.84</v>
      </c>
      <c r="B11" s="23">
        <f>300*1.6</f>
        <v>480</v>
      </c>
      <c r="C11" s="23" t="s">
        <v>117</v>
      </c>
      <c r="D11" s="26">
        <v>72.888000000000005</v>
      </c>
      <c r="E11" s="26">
        <f t="shared" si="0"/>
        <v>519.1958016000001</v>
      </c>
      <c r="F11" s="26"/>
      <c r="G11" s="7">
        <f>E11/300</f>
        <v>1.7306526720000004</v>
      </c>
      <c r="H11" s="26">
        <f t="shared" si="1"/>
        <v>137.19679508286683</v>
      </c>
      <c r="I11" s="26">
        <f t="shared" si="2"/>
        <v>325.84238832180864</v>
      </c>
      <c r="J11" s="15">
        <f t="shared" si="3"/>
        <v>21.957034253491148</v>
      </c>
      <c r="K11" s="15">
        <f t="shared" si="4"/>
        <v>0.72888000000000019</v>
      </c>
      <c r="L11" s="15">
        <f t="shared" si="5"/>
        <v>10.816579200000003</v>
      </c>
      <c r="P11" s="23">
        <f t="shared" si="6"/>
        <v>3.8939685120000007</v>
      </c>
    </row>
    <row r="12" spans="1:16" x14ac:dyDescent="0.25">
      <c r="A12" s="25">
        <f>'Distance &amp; Payload'!Q9</f>
        <v>11.2</v>
      </c>
      <c r="B12" s="23">
        <f>600*1.6</f>
        <v>960</v>
      </c>
      <c r="C12" s="23" t="s">
        <v>13</v>
      </c>
      <c r="D12" s="26">
        <v>102.035</v>
      </c>
      <c r="E12" s="26">
        <f t="shared" si="0"/>
        <v>1097.0803199999998</v>
      </c>
      <c r="F12" s="26"/>
      <c r="G12" s="7">
        <f>E12/600</f>
        <v>1.8284671999999997</v>
      </c>
      <c r="H12" s="26">
        <f t="shared" si="1"/>
        <v>98.005586318420157</v>
      </c>
      <c r="I12" s="26">
        <f t="shared" si="2"/>
        <v>232.76326750624784</v>
      </c>
      <c r="J12" s="15">
        <f t="shared" si="3"/>
        <v>20.782434598772131</v>
      </c>
      <c r="K12" s="15">
        <f t="shared" si="4"/>
        <v>1.0203499999999999</v>
      </c>
      <c r="L12" s="15">
        <f t="shared" si="5"/>
        <v>11.427919999999999</v>
      </c>
      <c r="P12" s="23">
        <f t="shared" si="6"/>
        <v>4.1140511999999996</v>
      </c>
    </row>
    <row r="13" spans="1:16" x14ac:dyDescent="0.25">
      <c r="A13" s="25">
        <f>'Distance &amp; Payload'!R7</f>
        <v>18.8</v>
      </c>
      <c r="B13" s="23">
        <f>150*1.6</f>
        <v>240</v>
      </c>
      <c r="C13" s="23" t="s">
        <v>118</v>
      </c>
      <c r="D13" s="26">
        <v>96.064999999999998</v>
      </c>
      <c r="E13" s="26">
        <f t="shared" si="0"/>
        <v>433.44527999999997</v>
      </c>
      <c r="F13" s="26"/>
      <c r="G13" s="7"/>
      <c r="H13" s="26">
        <f t="shared" si="1"/>
        <v>104.09618487482433</v>
      </c>
      <c r="I13" s="26">
        <f t="shared" si="2"/>
        <v>247.22843907770775</v>
      </c>
      <c r="J13" s="15">
        <f t="shared" si="3"/>
        <v>13.150448887112114</v>
      </c>
      <c r="K13" s="15">
        <f t="shared" si="4"/>
        <v>0.96065000000000011</v>
      </c>
      <c r="L13" s="15">
        <f t="shared" si="5"/>
        <v>18.060220000000005</v>
      </c>
      <c r="M13" s="15">
        <f>D13/1000*3.6/120*A13*100</f>
        <v>5.4180659999999996</v>
      </c>
      <c r="N13" s="15">
        <f>100/M13/1.6</f>
        <v>11.535481479922911</v>
      </c>
      <c r="P13" s="23">
        <f t="shared" si="6"/>
        <v>6.5016791999999999</v>
      </c>
    </row>
    <row r="14" spans="1:16" x14ac:dyDescent="0.25">
      <c r="A14" s="25">
        <f>'Distance &amp; Payload'!R8</f>
        <v>18.7</v>
      </c>
      <c r="B14" s="23">
        <f>300*1.6</f>
        <v>480</v>
      </c>
      <c r="C14" s="23" t="s">
        <v>119</v>
      </c>
      <c r="D14" s="26">
        <v>97.046000000000006</v>
      </c>
      <c r="E14" s="26">
        <f t="shared" si="0"/>
        <v>871.08489599999996</v>
      </c>
      <c r="F14" s="26"/>
      <c r="G14" s="7"/>
      <c r="H14" s="26">
        <f t="shared" si="1"/>
        <v>103.04391731756074</v>
      </c>
      <c r="I14" s="26">
        <f t="shared" si="2"/>
        <v>244.72930362920673</v>
      </c>
      <c r="J14" s="15">
        <f t="shared" si="3"/>
        <v>13.087128536321217</v>
      </c>
      <c r="K14" s="15">
        <f t="shared" si="4"/>
        <v>0.97045999999999999</v>
      </c>
      <c r="L14" s="15">
        <f t="shared" si="5"/>
        <v>18.147601999999999</v>
      </c>
      <c r="M14" s="15">
        <f t="shared" ref="M14:M15" si="7">D14/1000*3.6/120*A14*100</f>
        <v>5.4442805999999999</v>
      </c>
      <c r="N14" s="15">
        <f t="shared" ref="N14:N15" si="8">100/M14/1.6</f>
        <v>11.479937312562472</v>
      </c>
      <c r="P14" s="23">
        <f t="shared" si="6"/>
        <v>6.5331367199999999</v>
      </c>
    </row>
    <row r="15" spans="1:16" x14ac:dyDescent="0.25">
      <c r="A15" s="25">
        <f>'Distance &amp; Payload'!R9</f>
        <v>18.3</v>
      </c>
      <c r="B15" s="23">
        <f>600*1.6</f>
        <v>960</v>
      </c>
      <c r="C15" s="23" t="s">
        <v>120</v>
      </c>
      <c r="D15" s="26">
        <v>98.932000000000002</v>
      </c>
      <c r="E15" s="26">
        <f t="shared" si="0"/>
        <v>1738.0373760000002</v>
      </c>
      <c r="F15" s="26"/>
      <c r="G15" s="7"/>
      <c r="H15" s="26">
        <f t="shared" si="1"/>
        <v>101.07952937371124</v>
      </c>
      <c r="I15" s="26">
        <f t="shared" si="2"/>
        <v>240.06388226256419</v>
      </c>
      <c r="J15" s="15">
        <f t="shared" si="3"/>
        <v>13.118244932380556</v>
      </c>
      <c r="K15" s="15">
        <f t="shared" si="4"/>
        <v>0.98931999999999998</v>
      </c>
      <c r="L15" s="15">
        <f t="shared" si="5"/>
        <v>18.104555999999999</v>
      </c>
      <c r="M15" s="15">
        <f t="shared" si="7"/>
        <v>5.4313668000000002</v>
      </c>
      <c r="N15" s="15">
        <f t="shared" si="8"/>
        <v>11.507232396825048</v>
      </c>
      <c r="P15" s="23">
        <f t="shared" si="6"/>
        <v>6.5176401600000009</v>
      </c>
    </row>
    <row r="18" spans="3:21" x14ac:dyDescent="0.25">
      <c r="C18">
        <f>D10/1000*1.6*A10</f>
        <v>1.7305327040000005</v>
      </c>
    </row>
    <row r="21" spans="3:21" x14ac:dyDescent="0.25">
      <c r="I21" s="28" t="s">
        <v>133</v>
      </c>
      <c r="J21" s="28" t="s">
        <v>139</v>
      </c>
      <c r="K21" s="28" t="s">
        <v>140</v>
      </c>
      <c r="L21" s="28" t="s">
        <v>141</v>
      </c>
      <c r="M21" s="28" t="s">
        <v>142</v>
      </c>
      <c r="N21" s="28" t="s">
        <v>143</v>
      </c>
      <c r="O21" s="28" t="s">
        <v>140</v>
      </c>
      <c r="P21" s="28" t="s">
        <v>144</v>
      </c>
      <c r="Q21" s="28" t="s">
        <v>145</v>
      </c>
      <c r="R21" s="28" t="s">
        <v>146</v>
      </c>
      <c r="S21" s="28" t="s">
        <v>147</v>
      </c>
      <c r="T21" s="28" t="s">
        <v>148</v>
      </c>
      <c r="U21" s="28" t="s">
        <v>149</v>
      </c>
    </row>
    <row r="22" spans="3:21" x14ac:dyDescent="0.25">
      <c r="G22" t="s">
        <v>132</v>
      </c>
      <c r="H22" t="s">
        <v>130</v>
      </c>
      <c r="I22" s="15">
        <f>J4</f>
        <v>7.5754031549817995</v>
      </c>
      <c r="J22" s="15">
        <v>5.54</v>
      </c>
      <c r="K22" s="15">
        <v>7.42</v>
      </c>
      <c r="L22" s="15">
        <v>7.24</v>
      </c>
      <c r="M22" s="15">
        <v>7.19</v>
      </c>
      <c r="N22" s="15">
        <v>7.11</v>
      </c>
      <c r="O22" s="15">
        <v>6.88</v>
      </c>
      <c r="P22" s="15">
        <v>6.82</v>
      </c>
      <c r="Q22" s="15">
        <v>7.84</v>
      </c>
      <c r="R22" s="15">
        <v>6.68</v>
      </c>
      <c r="S22" s="15">
        <v>7.11</v>
      </c>
      <c r="T22" s="15">
        <v>7.27</v>
      </c>
      <c r="U22" s="15">
        <v>5.98</v>
      </c>
    </row>
    <row r="23" spans="3:21" x14ac:dyDescent="0.25">
      <c r="H23" t="s">
        <v>138</v>
      </c>
      <c r="I23" s="15">
        <f>L4</f>
        <v>31.351466732673263</v>
      </c>
      <c r="J23" s="15">
        <f>1/J22*3.8/1.6*100</f>
        <v>42.870036101083031</v>
      </c>
      <c r="K23" s="15">
        <f t="shared" ref="K23:U23" si="9">1/K22*3.8/1.6*100</f>
        <v>32.008086253369264</v>
      </c>
      <c r="L23" s="15">
        <f t="shared" si="9"/>
        <v>32.803867403314911</v>
      </c>
      <c r="M23" s="15">
        <f t="shared" si="9"/>
        <v>33.031988873435317</v>
      </c>
      <c r="N23" s="15">
        <f t="shared" si="9"/>
        <v>33.403656821378334</v>
      </c>
      <c r="O23" s="15">
        <f t="shared" si="9"/>
        <v>34.520348837209298</v>
      </c>
      <c r="P23" s="15">
        <f t="shared" si="9"/>
        <v>34.824046920821111</v>
      </c>
      <c r="Q23" s="15">
        <f t="shared" si="9"/>
        <v>30.293367346938773</v>
      </c>
      <c r="R23" s="15">
        <f t="shared" si="9"/>
        <v>35.553892215568858</v>
      </c>
      <c r="S23" s="15">
        <f t="shared" si="9"/>
        <v>33.403656821378334</v>
      </c>
      <c r="T23" s="15">
        <f t="shared" si="9"/>
        <v>32.668500687757906</v>
      </c>
      <c r="U23" s="15">
        <f t="shared" si="9"/>
        <v>39.715719063545151</v>
      </c>
    </row>
    <row r="26" spans="3:21" x14ac:dyDescent="0.25">
      <c r="I26" s="28" t="s">
        <v>133</v>
      </c>
      <c r="J26" t="s">
        <v>150</v>
      </c>
      <c r="K26" s="23" t="s">
        <v>151</v>
      </c>
    </row>
    <row r="27" spans="3:21" x14ac:dyDescent="0.25">
      <c r="G27" t="s">
        <v>131</v>
      </c>
      <c r="I27" s="26">
        <f>J7</f>
        <v>11.691035707622701</v>
      </c>
      <c r="J27">
        <v>10</v>
      </c>
      <c r="K27">
        <v>15</v>
      </c>
    </row>
    <row r="28" spans="3:21" x14ac:dyDescent="0.25">
      <c r="J28">
        <v>12.5</v>
      </c>
    </row>
    <row r="30" spans="3:21" x14ac:dyDescent="0.25">
      <c r="I30" s="44" t="s">
        <v>133</v>
      </c>
      <c r="J30" s="44" t="s">
        <v>154</v>
      </c>
      <c r="K30" s="44"/>
    </row>
    <row r="31" spans="3:21" x14ac:dyDescent="0.25">
      <c r="D31" s="32"/>
      <c r="E31" s="32"/>
      <c r="F31" s="32"/>
      <c r="I31" s="44"/>
      <c r="J31" s="28" t="s">
        <v>157</v>
      </c>
      <c r="K31" s="28" t="s">
        <v>158</v>
      </c>
    </row>
    <row r="32" spans="3:21" ht="15.75" x14ac:dyDescent="0.25">
      <c r="D32" s="33"/>
      <c r="E32" s="33"/>
      <c r="F32" s="33"/>
      <c r="G32" s="10" t="s">
        <v>152</v>
      </c>
      <c r="H32" s="23" t="s">
        <v>159</v>
      </c>
      <c r="I32" s="26">
        <f>J7</f>
        <v>11.691035707622701</v>
      </c>
      <c r="J32" s="15">
        <v>10.9</v>
      </c>
      <c r="K32" s="15">
        <v>15.6</v>
      </c>
    </row>
    <row r="33" spans="4:11" ht="15.75" x14ac:dyDescent="0.25">
      <c r="D33" s="33"/>
      <c r="E33" s="33"/>
      <c r="F33" s="33"/>
      <c r="G33" s="23"/>
      <c r="H33" s="23" t="s">
        <v>156</v>
      </c>
      <c r="I33" s="26">
        <f>L7</f>
        <v>20.314709999999998</v>
      </c>
      <c r="J33" s="15">
        <f>100/K32*3.8/1.6</f>
        <v>15.224358974358973</v>
      </c>
      <c r="K33" s="15">
        <f>100/J32*3.8/1.6</f>
        <v>21.788990825688071</v>
      </c>
    </row>
    <row r="34" spans="4:11" ht="15.75" x14ac:dyDescent="0.25">
      <c r="D34" s="33"/>
      <c r="E34" s="33"/>
      <c r="F34" s="33"/>
      <c r="G34" s="10" t="s">
        <v>153</v>
      </c>
      <c r="H34" s="23" t="s">
        <v>155</v>
      </c>
      <c r="I34" s="15">
        <f>M13</f>
        <v>5.4180659999999996</v>
      </c>
      <c r="J34" s="15">
        <f>100/17/1.6</f>
        <v>3.6764705882352944</v>
      </c>
      <c r="K34" s="15">
        <f>100/11.1/1.6</f>
        <v>5.6306306306306304</v>
      </c>
    </row>
    <row r="35" spans="4:11" ht="15.75" x14ac:dyDescent="0.25">
      <c r="D35" s="33"/>
      <c r="E35" s="33"/>
      <c r="F35" s="33"/>
      <c r="G35" s="23"/>
      <c r="H35" s="23" t="s">
        <v>138</v>
      </c>
    </row>
    <row r="36" spans="4:11" ht="15.75" x14ac:dyDescent="0.25">
      <c r="D36" s="33"/>
      <c r="E36" s="33"/>
      <c r="F36" s="33"/>
    </row>
    <row r="37" spans="4:11" ht="15.75" x14ac:dyDescent="0.25">
      <c r="D37" s="33"/>
      <c r="E37" s="33"/>
      <c r="F37" s="33"/>
    </row>
    <row r="38" spans="4:11" ht="15.75" x14ac:dyDescent="0.25">
      <c r="D38" s="33"/>
      <c r="E38" s="33"/>
      <c r="F38" s="33"/>
      <c r="G38" s="23"/>
      <c r="I38" s="26"/>
    </row>
    <row r="39" spans="4:11" ht="15.75" x14ac:dyDescent="0.25">
      <c r="D39" s="33"/>
      <c r="E39" s="33"/>
      <c r="F39" s="33"/>
      <c r="G39" s="23"/>
      <c r="I39" s="26"/>
    </row>
    <row r="40" spans="4:11" ht="15.75" x14ac:dyDescent="0.25">
      <c r="D40" s="33"/>
      <c r="E40" s="33"/>
      <c r="F40" s="33"/>
      <c r="G40" s="23"/>
      <c r="I40" s="26"/>
    </row>
    <row r="41" spans="4:11" ht="15.75" x14ac:dyDescent="0.25">
      <c r="D41" s="33"/>
      <c r="E41" s="33"/>
      <c r="F41" s="33"/>
    </row>
    <row r="42" spans="4:11" x14ac:dyDescent="0.25">
      <c r="D42" s="32"/>
      <c r="E42" s="32"/>
      <c r="F42" s="32"/>
    </row>
    <row r="51" spans="3:11" ht="15.75" thickBot="1" x14ac:dyDescent="0.3"/>
    <row r="52" spans="3:11" ht="15.75" x14ac:dyDescent="0.25">
      <c r="H52" s="30"/>
    </row>
    <row r="53" spans="3:11" ht="15.75" x14ac:dyDescent="0.25">
      <c r="H53" s="31"/>
    </row>
    <row r="54" spans="3:11" ht="15.75" x14ac:dyDescent="0.25">
      <c r="H54" s="31"/>
    </row>
    <row r="55" spans="3:11" ht="15.75" x14ac:dyDescent="0.25">
      <c r="H55" s="31"/>
    </row>
    <row r="56" spans="3:11" ht="15.75" x14ac:dyDescent="0.25">
      <c r="H56" s="31"/>
    </row>
    <row r="57" spans="3:11" ht="15.75" x14ac:dyDescent="0.25">
      <c r="H57" s="31"/>
      <c r="I57" s="29" t="s">
        <v>164</v>
      </c>
    </row>
    <row r="58" spans="3:11" ht="15.75" x14ac:dyDescent="0.25">
      <c r="F58" s="44" t="s">
        <v>105</v>
      </c>
      <c r="G58" s="44"/>
      <c r="H58" s="31"/>
      <c r="I58" s="3" t="s">
        <v>133</v>
      </c>
      <c r="J58" s="44" t="s">
        <v>166</v>
      </c>
      <c r="K58" s="44"/>
    </row>
    <row r="59" spans="3:11" ht="15.75" x14ac:dyDescent="0.25">
      <c r="D59" s="29" t="s">
        <v>160</v>
      </c>
      <c r="E59" s="29" t="s">
        <v>121</v>
      </c>
      <c r="F59" s="29" t="s">
        <v>133</v>
      </c>
      <c r="G59" s="29" t="s">
        <v>165</v>
      </c>
      <c r="H59" s="31"/>
      <c r="I59" s="3"/>
      <c r="J59" s="29" t="s">
        <v>157</v>
      </c>
      <c r="K59" s="29" t="s">
        <v>158</v>
      </c>
    </row>
    <row r="60" spans="3:11" ht="15.75" x14ac:dyDescent="0.25">
      <c r="C60" t="s">
        <v>161</v>
      </c>
      <c r="D60">
        <v>150</v>
      </c>
      <c r="E60">
        <f>D60*1.6</f>
        <v>240</v>
      </c>
      <c r="F60" s="26">
        <f>E10</f>
        <v>259.57990560000002</v>
      </c>
      <c r="G60" s="26">
        <f>D60*1.79</f>
        <v>268.5</v>
      </c>
      <c r="H60" s="35" t="s">
        <v>207</v>
      </c>
      <c r="I60" s="15">
        <f>D12/1000*A12</f>
        <v>1.142792</v>
      </c>
      <c r="J60" s="15">
        <f>J61/1.6</f>
        <v>0.625</v>
      </c>
      <c r="K60" s="15">
        <f>K61/1.6</f>
        <v>1.875</v>
      </c>
    </row>
    <row r="61" spans="3:11" ht="15.75" x14ac:dyDescent="0.25">
      <c r="C61" s="23" t="s">
        <v>162</v>
      </c>
      <c r="D61">
        <v>300</v>
      </c>
      <c r="E61" s="23">
        <f t="shared" ref="E61:E62" si="10">D61*1.6</f>
        <v>480</v>
      </c>
      <c r="F61" s="26">
        <f t="shared" ref="F61:F62" si="11">E11</f>
        <v>519.1958016000001</v>
      </c>
      <c r="G61" s="26">
        <f>D61*1.79</f>
        <v>537</v>
      </c>
      <c r="H61" s="35" t="s">
        <v>208</v>
      </c>
      <c r="I61" s="15">
        <f>I60*1.6</f>
        <v>1.8284672000000002</v>
      </c>
      <c r="J61" s="15">
        <v>1</v>
      </c>
      <c r="K61" s="15">
        <v>3</v>
      </c>
    </row>
    <row r="62" spans="3:11" ht="15.75" x14ac:dyDescent="0.25">
      <c r="C62" s="23" t="s">
        <v>163</v>
      </c>
      <c r="D62">
        <v>600</v>
      </c>
      <c r="E62" s="23">
        <f t="shared" si="10"/>
        <v>960</v>
      </c>
      <c r="F62" s="26">
        <f t="shared" si="11"/>
        <v>1097.0803199999998</v>
      </c>
      <c r="G62" s="26">
        <f>D62*1.79</f>
        <v>1074</v>
      </c>
      <c r="H62" s="34"/>
    </row>
    <row r="63" spans="3:11" x14ac:dyDescent="0.25">
      <c r="H63" s="36" t="str">
        <f t="shared" ref="H63:J64" si="12">H60</f>
        <v>kWh/km</v>
      </c>
      <c r="I63" s="7">
        <f t="shared" si="12"/>
        <v>1.142792</v>
      </c>
      <c r="J63" s="7">
        <f t="shared" si="12"/>
        <v>0.625</v>
      </c>
      <c r="K63" s="7">
        <f>K60-J63</f>
        <v>1.25</v>
      </c>
    </row>
    <row r="64" spans="3:11" x14ac:dyDescent="0.25">
      <c r="H64" s="36" t="str">
        <f t="shared" si="12"/>
        <v>kWh/mile</v>
      </c>
      <c r="I64" s="7">
        <f t="shared" si="12"/>
        <v>1.8284672000000002</v>
      </c>
      <c r="J64" s="7">
        <f t="shared" si="12"/>
        <v>1</v>
      </c>
      <c r="K64" s="7">
        <f>K61-J64</f>
        <v>2</v>
      </c>
    </row>
  </sheetData>
  <mergeCells count="4">
    <mergeCell ref="J30:K30"/>
    <mergeCell ref="I30:I31"/>
    <mergeCell ref="F58:G58"/>
    <mergeCell ref="J58:K58"/>
  </mergeCells>
  <pageMargins left="0.7" right="0.7" top="0.75" bottom="0.75" header="0.3" footer="0.3"/>
  <pageSetup orientation="portrait" r:id="rId1"/>
  <headerFooter>
    <oddFooter>&amp;L&amp;1#&amp;"Arial"&amp;10&amp;K000000Saudi Aramco: Public</oddFooter>
  </headerFooter>
  <drawing r:id="rId2"/>
  <legacy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2B16A-878C-4012-BF9E-886F07F5B8F7}">
  <dimension ref="C5:AG46"/>
  <sheetViews>
    <sheetView zoomScaleNormal="100" workbookViewId="0">
      <selection activeCell="AK84" sqref="AK84"/>
    </sheetView>
  </sheetViews>
  <sheetFormatPr defaultRowHeight="15" x14ac:dyDescent="0.25"/>
  <cols>
    <col min="4" max="4" width="19.5703125" bestFit="1" customWidth="1"/>
    <col min="5" max="5" width="21" bestFit="1" customWidth="1"/>
    <col min="13" max="13" width="21.5703125" bestFit="1" customWidth="1"/>
  </cols>
  <sheetData>
    <row r="5" spans="3:33" x14ac:dyDescent="0.25">
      <c r="C5" s="46"/>
      <c r="D5" s="39"/>
    </row>
    <row r="6" spans="3:33" x14ac:dyDescent="0.25">
      <c r="C6" s="46"/>
      <c r="D6" s="39"/>
    </row>
    <row r="7" spans="3:33" x14ac:dyDescent="0.25">
      <c r="C7" s="46"/>
      <c r="D7" s="39"/>
    </row>
    <row r="8" spans="3:33" x14ac:dyDescent="0.25">
      <c r="C8" s="46"/>
      <c r="D8" s="39"/>
    </row>
    <row r="9" spans="3:33" x14ac:dyDescent="0.25">
      <c r="C9" s="39"/>
      <c r="D9" s="39"/>
    </row>
    <row r="10" spans="3:33" x14ac:dyDescent="0.25">
      <c r="F10" s="44" t="s">
        <v>81</v>
      </c>
      <c r="G10" s="44"/>
      <c r="H10" s="44"/>
      <c r="I10" s="44"/>
      <c r="J10" s="44"/>
      <c r="M10" s="23"/>
      <c r="N10" s="44" t="s">
        <v>176</v>
      </c>
      <c r="O10" s="44"/>
      <c r="P10" s="44"/>
      <c r="Q10" s="44"/>
      <c r="R10" s="44"/>
      <c r="U10" s="23"/>
      <c r="V10" s="23"/>
      <c r="W10" s="44" t="s">
        <v>187</v>
      </c>
      <c r="X10" s="44"/>
      <c r="Y10" s="44"/>
      <c r="Z10" s="44"/>
      <c r="AA10" s="44"/>
    </row>
    <row r="11" spans="3:33" x14ac:dyDescent="0.25">
      <c r="E11" s="10" t="s">
        <v>171</v>
      </c>
      <c r="F11" s="46" t="s">
        <v>172</v>
      </c>
      <c r="G11" s="46"/>
      <c r="H11" s="46" t="s">
        <v>173</v>
      </c>
      <c r="I11" s="46"/>
      <c r="J11" s="39" t="s">
        <v>174</v>
      </c>
      <c r="M11" s="10" t="s">
        <v>171</v>
      </c>
      <c r="N11" s="46" t="s">
        <v>172</v>
      </c>
      <c r="O11" s="46"/>
      <c r="P11" s="46" t="s">
        <v>173</v>
      </c>
      <c r="Q11" s="46"/>
      <c r="R11" s="39" t="s">
        <v>174</v>
      </c>
      <c r="U11" s="23"/>
      <c r="V11" s="10" t="s">
        <v>171</v>
      </c>
      <c r="W11" s="46" t="s">
        <v>172</v>
      </c>
      <c r="X11" s="46"/>
      <c r="Y11" s="46" t="s">
        <v>173</v>
      </c>
      <c r="Z11" s="46"/>
      <c r="AA11" s="42" t="s">
        <v>174</v>
      </c>
    </row>
    <row r="12" spans="3:33" x14ac:dyDescent="0.25">
      <c r="E12" s="10" t="s">
        <v>175</v>
      </c>
      <c r="F12" s="39">
        <v>27</v>
      </c>
      <c r="G12" s="39">
        <v>31.5</v>
      </c>
      <c r="H12" s="39">
        <v>35</v>
      </c>
      <c r="I12" s="39">
        <v>36</v>
      </c>
      <c r="J12" s="39">
        <v>49</v>
      </c>
      <c r="M12" s="10" t="s">
        <v>175</v>
      </c>
      <c r="N12" s="39">
        <v>27</v>
      </c>
      <c r="O12" s="39">
        <v>31.5</v>
      </c>
      <c r="P12" s="39">
        <v>35</v>
      </c>
      <c r="Q12" s="39">
        <v>36</v>
      </c>
      <c r="R12" s="39">
        <v>49</v>
      </c>
      <c r="U12" s="23"/>
      <c r="V12" s="10" t="s">
        <v>175</v>
      </c>
      <c r="W12" s="42">
        <v>27</v>
      </c>
      <c r="X12" s="42">
        <v>31.5</v>
      </c>
      <c r="Y12" s="42">
        <v>35</v>
      </c>
      <c r="Z12" s="42">
        <v>36</v>
      </c>
      <c r="AA12" s="42">
        <v>49</v>
      </c>
    </row>
    <row r="13" spans="3:33" x14ac:dyDescent="0.25">
      <c r="D13" s="44" t="s">
        <v>47</v>
      </c>
      <c r="E13" s="10" t="s">
        <v>37</v>
      </c>
      <c r="F13" s="26">
        <v>47.607506266187983</v>
      </c>
      <c r="G13" s="26">
        <v>39.405561955226169</v>
      </c>
      <c r="H13" s="26">
        <v>35.485689953617836</v>
      </c>
      <c r="I13" s="26">
        <v>34.518563008899257</v>
      </c>
      <c r="J13" s="26">
        <v>27.542871740072862</v>
      </c>
      <c r="L13" s="44" t="s">
        <v>47</v>
      </c>
      <c r="M13" s="10" t="s">
        <v>37</v>
      </c>
      <c r="N13" s="26">
        <v>13</v>
      </c>
      <c r="O13" s="26">
        <v>17.5</v>
      </c>
      <c r="P13" s="26">
        <v>20.9</v>
      </c>
      <c r="Q13" s="26">
        <v>21.9</v>
      </c>
      <c r="R13" s="26">
        <v>34.9</v>
      </c>
      <c r="V13" s="10" t="s">
        <v>83</v>
      </c>
      <c r="W13" s="26">
        <v>137.41347997387828</v>
      </c>
      <c r="X13" s="26">
        <v>114.31660053237987</v>
      </c>
      <c r="Y13" s="26">
        <v>103.44247463735417</v>
      </c>
      <c r="Z13" s="26">
        <v>100.90255294946726</v>
      </c>
      <c r="AA13" s="26">
        <v>81.547665231819636</v>
      </c>
    </row>
    <row r="14" spans="3:33" ht="30" x14ac:dyDescent="0.25">
      <c r="D14" s="44"/>
      <c r="E14" s="40" t="s">
        <v>185</v>
      </c>
      <c r="F14" s="26">
        <v>17.635290055563537</v>
      </c>
      <c r="G14" s="26">
        <v>14.390533576930356</v>
      </c>
      <c r="H14" s="26">
        <v>12.832399701177247</v>
      </c>
      <c r="I14" s="26">
        <v>12.486122019068954</v>
      </c>
      <c r="J14" s="26">
        <v>9.7283056019716714</v>
      </c>
      <c r="L14" s="44"/>
      <c r="M14" s="10" t="s">
        <v>48</v>
      </c>
      <c r="N14" s="26">
        <v>13</v>
      </c>
      <c r="O14" s="26">
        <v>17.5</v>
      </c>
      <c r="P14" s="26">
        <v>20.9</v>
      </c>
      <c r="Q14" s="26">
        <v>21.9</v>
      </c>
      <c r="R14" s="26">
        <v>34.9</v>
      </c>
      <c r="U14" s="9"/>
      <c r="V14" s="10" t="s">
        <v>188</v>
      </c>
      <c r="W14" s="26">
        <v>77.433483041138288</v>
      </c>
      <c r="X14" s="26">
        <v>63.831806570409334</v>
      </c>
      <c r="Y14" s="26">
        <v>57.365198313324477</v>
      </c>
      <c r="Z14" s="26">
        <v>56.162213502455664</v>
      </c>
      <c r="AA14" s="26">
        <v>44.82718217579253</v>
      </c>
      <c r="AC14" s="25"/>
      <c r="AD14" s="25"/>
      <c r="AE14" s="25"/>
      <c r="AF14" s="25"/>
      <c r="AG14" s="25"/>
    </row>
    <row r="15" spans="3:33" ht="30" customHeight="1" x14ac:dyDescent="0.25">
      <c r="D15" s="45" t="s">
        <v>87</v>
      </c>
      <c r="E15" s="40" t="s">
        <v>179</v>
      </c>
      <c r="F15" s="26">
        <v>59.414000000000001</v>
      </c>
      <c r="G15" s="26">
        <v>48.901000000000003</v>
      </c>
      <c r="H15" s="26">
        <v>43.895000000000003</v>
      </c>
      <c r="I15" s="26">
        <v>42.680999999999997</v>
      </c>
      <c r="J15" s="26">
        <v>33.848999999999997</v>
      </c>
      <c r="L15" s="45" t="s">
        <v>87</v>
      </c>
      <c r="M15" s="10" t="s">
        <v>88</v>
      </c>
      <c r="N15" s="26">
        <v>12.36</v>
      </c>
      <c r="O15" s="26">
        <v>16.7</v>
      </c>
      <c r="P15" s="26">
        <v>20.021999999999998</v>
      </c>
      <c r="Q15" s="26">
        <v>20.988</v>
      </c>
      <c r="R15" s="26">
        <v>33.423999999999999</v>
      </c>
      <c r="U15" s="3"/>
      <c r="V15" s="10" t="s">
        <v>189</v>
      </c>
      <c r="W15" s="26">
        <v>89.715219817922105</v>
      </c>
      <c r="X15" s="26">
        <v>72.034840163992655</v>
      </c>
      <c r="Y15" s="26">
        <v>63.967651756101787</v>
      </c>
      <c r="Z15" s="26">
        <v>62.214158750554439</v>
      </c>
      <c r="AA15" s="26">
        <v>48.625581561427282</v>
      </c>
      <c r="AC15" s="25"/>
      <c r="AD15" s="25"/>
      <c r="AE15" s="25"/>
      <c r="AF15" s="25"/>
      <c r="AG15" s="25"/>
    </row>
    <row r="16" spans="3:33" ht="30" x14ac:dyDescent="0.25">
      <c r="D16" s="44"/>
      <c r="E16" s="40" t="s">
        <v>180</v>
      </c>
      <c r="F16" s="26">
        <v>61.11</v>
      </c>
      <c r="G16" s="26">
        <v>50.17</v>
      </c>
      <c r="H16" s="26">
        <v>45.03</v>
      </c>
      <c r="I16" s="26">
        <v>43.86</v>
      </c>
      <c r="J16" s="26">
        <v>34.630000000000003</v>
      </c>
      <c r="L16" s="44"/>
      <c r="M16" s="10" t="s">
        <v>89</v>
      </c>
      <c r="N16" s="26">
        <v>12.36</v>
      </c>
      <c r="O16" s="26">
        <v>16.7</v>
      </c>
      <c r="P16" s="26">
        <v>20</v>
      </c>
      <c r="Q16" s="26">
        <v>20.98</v>
      </c>
      <c r="R16" s="26">
        <v>33.44</v>
      </c>
      <c r="U16" s="9"/>
      <c r="V16" s="10" t="s">
        <v>190</v>
      </c>
      <c r="W16" s="26">
        <v>135.18507767707388</v>
      </c>
      <c r="X16" s="26">
        <v>97.460733709720515</v>
      </c>
      <c r="Y16" s="26">
        <v>72.763547925417299</v>
      </c>
      <c r="Z16" s="26">
        <v>80.566548093139801</v>
      </c>
      <c r="AA16" s="26">
        <v>58.848197639101159</v>
      </c>
      <c r="AC16" s="25"/>
      <c r="AD16" s="25"/>
      <c r="AE16" s="25"/>
      <c r="AF16" s="25"/>
      <c r="AG16" s="25"/>
    </row>
    <row r="17" spans="4:27" ht="30" x14ac:dyDescent="0.25">
      <c r="D17" s="44"/>
      <c r="E17" s="40" t="s">
        <v>181</v>
      </c>
      <c r="F17" s="26">
        <v>47.72</v>
      </c>
      <c r="G17" s="26">
        <v>39.159999999999997</v>
      </c>
      <c r="H17" s="26">
        <v>35.14</v>
      </c>
      <c r="I17" s="26">
        <v>34.119999999999997</v>
      </c>
      <c r="J17" s="26">
        <v>26.89</v>
      </c>
      <c r="L17" s="44"/>
      <c r="M17" s="10" t="s">
        <v>90</v>
      </c>
      <c r="N17" s="26">
        <v>12.36</v>
      </c>
      <c r="O17" s="26">
        <v>16.68</v>
      </c>
      <c r="P17" s="26">
        <v>20.010000000000002</v>
      </c>
      <c r="Q17" s="26">
        <v>20.98</v>
      </c>
      <c r="R17" s="26">
        <v>33.44</v>
      </c>
      <c r="U17" s="9"/>
      <c r="V17" s="10" t="s">
        <v>191</v>
      </c>
      <c r="W17" s="26">
        <v>113.06683940754311</v>
      </c>
      <c r="X17" s="26">
        <v>96.608772044857091</v>
      </c>
      <c r="Y17" s="26">
        <v>88.189299161531025</v>
      </c>
      <c r="Z17" s="26">
        <v>86.399725625636293</v>
      </c>
      <c r="AA17" s="26">
        <v>71.396600417810717</v>
      </c>
    </row>
    <row r="18" spans="4:27" ht="30" x14ac:dyDescent="0.25">
      <c r="D18" s="44" t="s">
        <v>50</v>
      </c>
      <c r="E18" s="40" t="s">
        <v>182</v>
      </c>
      <c r="F18" s="26">
        <v>85.12475572636383</v>
      </c>
      <c r="G18" s="26">
        <v>71.997510494634639</v>
      </c>
      <c r="H18" s="26">
        <v>65.646100724941917</v>
      </c>
      <c r="I18" s="26">
        <v>64.177282642560556</v>
      </c>
      <c r="J18" s="26">
        <v>52.416702231353547</v>
      </c>
      <c r="L18" s="44" t="s">
        <v>50</v>
      </c>
      <c r="M18" s="10" t="s">
        <v>91</v>
      </c>
      <c r="N18" s="26">
        <v>14.2</v>
      </c>
      <c r="O18" s="26">
        <v>18.7</v>
      </c>
      <c r="P18" s="26">
        <v>22.1</v>
      </c>
      <c r="Q18" s="26">
        <v>23.1</v>
      </c>
      <c r="R18" s="26">
        <v>36</v>
      </c>
      <c r="U18" s="9"/>
      <c r="V18" s="10"/>
      <c r="W18" s="26"/>
      <c r="X18" s="26"/>
      <c r="Y18" s="26"/>
      <c r="Z18" s="26"/>
      <c r="AA18" s="26"/>
    </row>
    <row r="19" spans="4:27" ht="30" x14ac:dyDescent="0.25">
      <c r="D19" s="44"/>
      <c r="E19" s="40" t="s">
        <v>183</v>
      </c>
      <c r="F19" s="26">
        <v>71.278793238197053</v>
      </c>
      <c r="G19" s="26">
        <v>60.245263760640668</v>
      </c>
      <c r="H19" s="26">
        <v>54.795628571691481</v>
      </c>
      <c r="I19" s="26">
        <v>53.650940353427458</v>
      </c>
      <c r="J19" s="26">
        <v>43.66990067338461</v>
      </c>
      <c r="L19" s="44"/>
      <c r="M19" s="10" t="s">
        <v>92</v>
      </c>
      <c r="N19" s="26">
        <v>14.2</v>
      </c>
      <c r="O19" s="26">
        <v>18.7</v>
      </c>
      <c r="P19" s="26">
        <v>22.1</v>
      </c>
      <c r="Q19" s="26">
        <v>23.1</v>
      </c>
      <c r="R19" s="26">
        <v>36</v>
      </c>
      <c r="U19" s="9"/>
      <c r="V19" s="10"/>
      <c r="W19" s="26"/>
      <c r="X19" s="26"/>
      <c r="Y19" s="26"/>
      <c r="Z19" s="26"/>
      <c r="AA19" s="26"/>
    </row>
    <row r="20" spans="4:27" ht="30" x14ac:dyDescent="0.25">
      <c r="D20" s="44"/>
      <c r="E20" s="40" t="s">
        <v>184</v>
      </c>
      <c r="F20" s="26">
        <v>41.430577367267702</v>
      </c>
      <c r="G20" s="26">
        <v>34.852283244632609</v>
      </c>
      <c r="H20" s="26">
        <v>31.590089113368762</v>
      </c>
      <c r="I20" s="26">
        <v>30.876479182250769</v>
      </c>
      <c r="J20" s="26">
        <v>24.884148981944694</v>
      </c>
      <c r="L20" s="44"/>
      <c r="M20" s="10" t="s">
        <v>93</v>
      </c>
      <c r="N20" s="26">
        <v>14.2</v>
      </c>
      <c r="O20" s="26">
        <v>18.7</v>
      </c>
      <c r="P20" s="26">
        <v>22.1</v>
      </c>
      <c r="Q20" s="26">
        <v>23.1</v>
      </c>
      <c r="R20" s="26">
        <v>36</v>
      </c>
      <c r="U20" s="9"/>
      <c r="V20" s="10"/>
      <c r="W20" s="26"/>
      <c r="X20" s="26"/>
      <c r="Y20" s="26"/>
      <c r="Z20" s="26"/>
      <c r="AA20" s="26"/>
    </row>
    <row r="21" spans="4:27" x14ac:dyDescent="0.25">
      <c r="D21" s="23"/>
      <c r="E21" s="10" t="s">
        <v>38</v>
      </c>
      <c r="F21" s="26">
        <v>119.63901484031079</v>
      </c>
      <c r="G21" s="26">
        <v>101.4574700464145</v>
      </c>
      <c r="H21" s="26">
        <v>92.548082119920039</v>
      </c>
      <c r="I21" s="26">
        <v>90.588257525695937</v>
      </c>
      <c r="J21" s="26">
        <v>74.207445198907948</v>
      </c>
      <c r="L21" s="23"/>
      <c r="M21" s="10" t="s">
        <v>38</v>
      </c>
      <c r="N21" s="26">
        <v>14.2</v>
      </c>
      <c r="O21" s="26">
        <v>18.7</v>
      </c>
      <c r="P21" s="26">
        <v>22.1</v>
      </c>
      <c r="Q21" s="26">
        <v>23.1</v>
      </c>
      <c r="R21" s="26">
        <v>36</v>
      </c>
      <c r="U21" s="23"/>
      <c r="V21" s="10"/>
      <c r="W21" s="26"/>
      <c r="X21" s="26"/>
      <c r="Y21" s="26"/>
      <c r="Z21" s="26"/>
      <c r="AA21" s="26"/>
    </row>
    <row r="22" spans="4:27" x14ac:dyDescent="0.25">
      <c r="D22" s="23"/>
      <c r="E22" s="10" t="s">
        <v>39</v>
      </c>
      <c r="F22" s="26">
        <v>111.89558949599125</v>
      </c>
      <c r="G22" s="26">
        <v>95.043110718480008</v>
      </c>
      <c r="H22" s="26">
        <v>86.697223145883456</v>
      </c>
      <c r="I22" s="26">
        <v>84.678058205080845</v>
      </c>
      <c r="J22" s="26">
        <v>69.352373112643789</v>
      </c>
      <c r="L22" s="23"/>
      <c r="M22" s="10" t="s">
        <v>39</v>
      </c>
      <c r="N22" s="26">
        <v>14.2</v>
      </c>
      <c r="O22" s="26">
        <v>18.7</v>
      </c>
      <c r="P22" s="26">
        <v>22.1</v>
      </c>
      <c r="Q22" s="26">
        <v>23.1</v>
      </c>
      <c r="R22" s="26">
        <v>36</v>
      </c>
      <c r="U22" s="23"/>
      <c r="V22" s="10"/>
      <c r="W22" s="26"/>
      <c r="X22" s="26"/>
      <c r="Y22" s="26"/>
      <c r="Z22" s="26"/>
      <c r="AA22" s="26"/>
    </row>
    <row r="23" spans="4:27" x14ac:dyDescent="0.25">
      <c r="D23" s="23"/>
      <c r="E23" s="10" t="s">
        <v>40</v>
      </c>
      <c r="F23" s="26">
        <v>61.475114364575141</v>
      </c>
      <c r="G23" s="26">
        <v>51.997380564868926</v>
      </c>
      <c r="H23" s="26">
        <v>47.22151480907641</v>
      </c>
      <c r="I23" s="26">
        <v>46.145135626207413</v>
      </c>
      <c r="J23" s="26">
        <v>37.469075703481082</v>
      </c>
      <c r="L23" s="23"/>
      <c r="M23" s="10" t="s">
        <v>40</v>
      </c>
      <c r="N23" s="26">
        <v>14.2</v>
      </c>
      <c r="O23" s="26">
        <v>18.7</v>
      </c>
      <c r="P23" s="26">
        <v>22.1</v>
      </c>
      <c r="Q23" s="26">
        <v>23.1</v>
      </c>
      <c r="R23" s="26">
        <v>36</v>
      </c>
      <c r="U23" s="23"/>
      <c r="V23" s="10"/>
      <c r="W23" s="26"/>
      <c r="X23" s="26"/>
      <c r="Y23" s="26"/>
      <c r="Z23" s="26"/>
      <c r="AA23" s="26"/>
    </row>
    <row r="24" spans="4:27" x14ac:dyDescent="0.25">
      <c r="D24" s="23"/>
      <c r="E24" s="10" t="s">
        <v>42</v>
      </c>
      <c r="F24" s="26">
        <v>54.187968792330111</v>
      </c>
      <c r="G24" s="26">
        <v>45.764024335488301</v>
      </c>
      <c r="H24" s="26">
        <v>41.534979998382305</v>
      </c>
      <c r="I24" s="26">
        <v>40.604572720905615</v>
      </c>
      <c r="J24" s="26">
        <v>32.933132215767969</v>
      </c>
      <c r="L24" s="23"/>
      <c r="M24" s="10" t="s">
        <v>42</v>
      </c>
      <c r="N24" s="26">
        <v>14.2</v>
      </c>
      <c r="O24" s="26">
        <v>18.7</v>
      </c>
      <c r="P24" s="26">
        <v>22.1</v>
      </c>
      <c r="Q24" s="26">
        <v>23.1</v>
      </c>
      <c r="R24" s="26">
        <v>36</v>
      </c>
      <c r="U24" s="23"/>
      <c r="V24" s="10"/>
      <c r="W24" s="26"/>
      <c r="X24" s="26"/>
      <c r="Y24" s="26"/>
      <c r="Z24" s="26"/>
      <c r="AA24" s="26"/>
    </row>
    <row r="25" spans="4:27" x14ac:dyDescent="0.25">
      <c r="D25" s="23"/>
      <c r="E25" s="10" t="s">
        <v>43</v>
      </c>
      <c r="F25" s="26">
        <v>35.090911546821957</v>
      </c>
      <c r="G25" s="26">
        <v>29.450485368061194</v>
      </c>
      <c r="H25" s="26">
        <v>26.679522198528979</v>
      </c>
      <c r="I25" s="26">
        <v>25.99073689962286</v>
      </c>
      <c r="J25" s="26">
        <v>20.872260316764393</v>
      </c>
      <c r="L25" s="23"/>
      <c r="M25" s="10" t="s">
        <v>43</v>
      </c>
      <c r="N25" s="26">
        <v>14.2</v>
      </c>
      <c r="O25" s="26">
        <v>18.7</v>
      </c>
      <c r="P25" s="26">
        <v>22.1</v>
      </c>
      <c r="Q25" s="26">
        <v>23.1</v>
      </c>
      <c r="R25" s="26">
        <v>36</v>
      </c>
      <c r="U25" s="23"/>
      <c r="V25" s="10"/>
      <c r="W25" s="26"/>
      <c r="X25" s="26"/>
      <c r="Y25" s="26"/>
      <c r="Z25" s="26"/>
      <c r="AA25" s="26"/>
    </row>
    <row r="26" spans="4:27" x14ac:dyDescent="0.25">
      <c r="D26" s="23"/>
      <c r="E26" s="10" t="s">
        <v>41</v>
      </c>
      <c r="F26" s="26">
        <v>22.286958855222554</v>
      </c>
      <c r="G26" s="26">
        <v>18.53533666968665</v>
      </c>
      <c r="H26" s="26">
        <v>16.669072472999957</v>
      </c>
      <c r="I26" s="26">
        <v>16.25433412969873</v>
      </c>
      <c r="J26" s="26">
        <v>12.81630521675897</v>
      </c>
      <c r="L26" s="23"/>
      <c r="M26" s="10" t="s">
        <v>41</v>
      </c>
      <c r="N26" s="26">
        <v>14.2</v>
      </c>
      <c r="O26" s="26">
        <v>18.7</v>
      </c>
      <c r="P26" s="26">
        <v>22.1</v>
      </c>
      <c r="Q26" s="26">
        <v>23.1</v>
      </c>
      <c r="R26" s="26">
        <v>36</v>
      </c>
      <c r="U26" s="23"/>
      <c r="V26" s="10"/>
      <c r="W26" s="26"/>
      <c r="X26" s="26"/>
      <c r="Y26" s="26"/>
      <c r="Z26" s="26"/>
      <c r="AA26" s="26"/>
    </row>
    <row r="27" spans="4:27" x14ac:dyDescent="0.25">
      <c r="D27" s="23"/>
      <c r="E27" s="10" t="s">
        <v>44</v>
      </c>
      <c r="F27" s="26">
        <v>20.330443157842939</v>
      </c>
      <c r="G27" s="26">
        <v>16.865313739357244</v>
      </c>
      <c r="H27" s="26">
        <v>15.167219541165343</v>
      </c>
      <c r="I27" s="26">
        <v>14.67900263329634</v>
      </c>
      <c r="J27" s="26">
        <v>11.600247540130326</v>
      </c>
      <c r="L27" s="23"/>
      <c r="M27" s="10" t="s">
        <v>44</v>
      </c>
      <c r="N27" s="26">
        <v>14.2</v>
      </c>
      <c r="O27" s="26">
        <v>18.7</v>
      </c>
      <c r="P27" s="26">
        <v>22.1</v>
      </c>
      <c r="Q27" s="26">
        <v>23.1</v>
      </c>
      <c r="R27" s="26">
        <v>36</v>
      </c>
      <c r="U27" s="23"/>
      <c r="V27" s="10"/>
      <c r="W27" s="26"/>
      <c r="X27" s="26"/>
      <c r="Y27" s="26"/>
      <c r="Z27" s="26"/>
      <c r="AA27" s="26"/>
    </row>
    <row r="28" spans="4:27" x14ac:dyDescent="0.25">
      <c r="E28" s="38"/>
    </row>
    <row r="29" spans="4:27" x14ac:dyDescent="0.25">
      <c r="E29" s="38"/>
    </row>
    <row r="33" spans="5:32" x14ac:dyDescent="0.25">
      <c r="F33" s="23"/>
      <c r="G33" s="44" t="s">
        <v>81</v>
      </c>
      <c r="H33" s="44"/>
      <c r="I33" s="44"/>
      <c r="J33" s="44"/>
      <c r="K33" s="44"/>
      <c r="M33" s="23"/>
      <c r="N33" s="44" t="s">
        <v>176</v>
      </c>
      <c r="O33" s="44"/>
      <c r="P33" s="44"/>
      <c r="Q33" s="44"/>
      <c r="R33" s="44"/>
      <c r="T33" s="23"/>
      <c r="U33" s="44" t="s">
        <v>176</v>
      </c>
      <c r="V33" s="44"/>
      <c r="W33" s="44"/>
      <c r="X33" s="44"/>
      <c r="Y33" s="44"/>
      <c r="AA33" s="23"/>
      <c r="AB33" s="44" t="s">
        <v>186</v>
      </c>
      <c r="AC33" s="44"/>
      <c r="AD33" s="44"/>
      <c r="AE33" s="44"/>
      <c r="AF33" s="44"/>
    </row>
    <row r="34" spans="5:32" x14ac:dyDescent="0.25">
      <c r="E34" t="s">
        <v>177</v>
      </c>
      <c r="F34" s="10" t="s">
        <v>171</v>
      </c>
      <c r="G34" s="46" t="s">
        <v>172</v>
      </c>
      <c r="H34" s="46"/>
      <c r="I34" s="46" t="s">
        <v>173</v>
      </c>
      <c r="J34" s="46"/>
      <c r="K34" s="39" t="s">
        <v>174</v>
      </c>
      <c r="M34" s="10" t="s">
        <v>171</v>
      </c>
      <c r="N34" s="46" t="s">
        <v>172</v>
      </c>
      <c r="O34" s="46"/>
      <c r="P34" s="46" t="s">
        <v>173</v>
      </c>
      <c r="Q34" s="46"/>
      <c r="R34" s="39" t="s">
        <v>174</v>
      </c>
      <c r="T34" s="10" t="s">
        <v>171</v>
      </c>
      <c r="U34" s="46" t="s">
        <v>172</v>
      </c>
      <c r="V34" s="46"/>
      <c r="W34" s="46" t="s">
        <v>173</v>
      </c>
      <c r="X34" s="46"/>
      <c r="Y34" s="39" t="s">
        <v>174</v>
      </c>
      <c r="AA34" s="10" t="s">
        <v>171</v>
      </c>
      <c r="AB34" s="46" t="s">
        <v>172</v>
      </c>
      <c r="AC34" s="46"/>
      <c r="AD34" s="46" t="s">
        <v>173</v>
      </c>
      <c r="AE34" s="46"/>
      <c r="AF34" s="39" t="s">
        <v>174</v>
      </c>
    </row>
    <row r="35" spans="5:32" x14ac:dyDescent="0.25">
      <c r="F35" s="10" t="s">
        <v>175</v>
      </c>
      <c r="G35" s="39">
        <v>27</v>
      </c>
      <c r="H35" s="39">
        <v>31.5</v>
      </c>
      <c r="I35" s="39">
        <v>35</v>
      </c>
      <c r="J35" s="39">
        <v>36</v>
      </c>
      <c r="K35" s="39">
        <v>49</v>
      </c>
      <c r="M35" s="10" t="s">
        <v>175</v>
      </c>
      <c r="N35" s="39">
        <v>27</v>
      </c>
      <c r="O35" s="39">
        <v>31.5</v>
      </c>
      <c r="P35" s="39">
        <v>35</v>
      </c>
      <c r="Q35" s="39">
        <v>36</v>
      </c>
      <c r="R35" s="39">
        <v>49</v>
      </c>
      <c r="T35" s="10" t="s">
        <v>175</v>
      </c>
      <c r="U35" s="39">
        <v>27</v>
      </c>
      <c r="V35" s="39">
        <v>31.5</v>
      </c>
      <c r="W35" s="39">
        <v>35</v>
      </c>
      <c r="X35" s="39">
        <v>36</v>
      </c>
      <c r="Y35" s="39">
        <v>49</v>
      </c>
      <c r="AA35" s="10" t="s">
        <v>175</v>
      </c>
      <c r="AB35" s="39">
        <v>27</v>
      </c>
      <c r="AC35" s="39">
        <v>31.5</v>
      </c>
      <c r="AD35" s="39">
        <v>35</v>
      </c>
      <c r="AE35" s="39">
        <v>36</v>
      </c>
      <c r="AF35" s="39">
        <v>49</v>
      </c>
    </row>
    <row r="36" spans="5:32" x14ac:dyDescent="0.25">
      <c r="F36" s="10" t="s">
        <v>80</v>
      </c>
      <c r="G36" s="26">
        <v>59.414000000000001</v>
      </c>
      <c r="H36" s="26">
        <v>48.901000000000003</v>
      </c>
      <c r="I36" s="26">
        <v>43.895000000000003</v>
      </c>
      <c r="J36" s="26">
        <v>42.680999999999997</v>
      </c>
      <c r="K36" s="26">
        <v>33.848999999999997</v>
      </c>
      <c r="M36" s="10" t="s">
        <v>80</v>
      </c>
      <c r="N36" s="26">
        <v>12.36</v>
      </c>
      <c r="O36" s="26">
        <v>16.7</v>
      </c>
      <c r="P36" s="26">
        <v>20.021999999999998</v>
      </c>
      <c r="Q36" s="26">
        <v>20.988</v>
      </c>
      <c r="R36" s="26">
        <v>33.423999999999999</v>
      </c>
      <c r="S36">
        <f>T36*1.6</f>
        <v>240</v>
      </c>
      <c r="T36" s="10">
        <v>150</v>
      </c>
      <c r="U36" s="14">
        <f>N36/N$13</f>
        <v>0.9507692307692307</v>
      </c>
      <c r="V36" s="14">
        <f t="shared" ref="V36:Y36" si="0">O36/O$13</f>
        <v>0.95428571428571429</v>
      </c>
      <c r="W36" s="14">
        <f t="shared" si="0"/>
        <v>0.95799043062200961</v>
      </c>
      <c r="X36" s="14">
        <f t="shared" si="0"/>
        <v>0.95835616438356164</v>
      </c>
      <c r="Y36" s="14">
        <f t="shared" si="0"/>
        <v>0.95770773638968487</v>
      </c>
      <c r="AA36" s="10">
        <v>150</v>
      </c>
      <c r="AB36" s="14">
        <f>1-U36</f>
        <v>4.92307692307693E-2</v>
      </c>
      <c r="AC36" s="14">
        <f t="shared" ref="AC36:AF36" si="1">1-V36</f>
        <v>4.5714285714285707E-2</v>
      </c>
      <c r="AD36" s="14">
        <f t="shared" si="1"/>
        <v>4.2009569377990386E-2</v>
      </c>
      <c r="AE36" s="14">
        <f t="shared" si="1"/>
        <v>4.1643835616438363E-2</v>
      </c>
      <c r="AF36" s="14">
        <f t="shared" si="1"/>
        <v>4.2292263610315128E-2</v>
      </c>
    </row>
    <row r="37" spans="5:32" x14ac:dyDescent="0.25">
      <c r="F37" s="10" t="s">
        <v>67</v>
      </c>
      <c r="G37" s="26">
        <v>75.709999999999994</v>
      </c>
      <c r="H37" s="26">
        <v>60.54</v>
      </c>
      <c r="I37" s="26">
        <v>53.5</v>
      </c>
      <c r="J37" s="26">
        <v>51.94</v>
      </c>
      <c r="K37" s="26">
        <v>40.25</v>
      </c>
      <c r="M37" s="10" t="s">
        <v>67</v>
      </c>
      <c r="N37" s="26">
        <v>10.728400000000001</v>
      </c>
      <c r="O37" s="26">
        <v>14.8414</v>
      </c>
      <c r="P37" s="26">
        <v>18.052499999999998</v>
      </c>
      <c r="Q37" s="26">
        <v>18.971399999999999</v>
      </c>
      <c r="R37" s="26">
        <v>30.8843</v>
      </c>
      <c r="S37" s="23">
        <f t="shared" ref="S37:S38" si="2">T37*1.6</f>
        <v>480</v>
      </c>
      <c r="T37" s="10">
        <v>300</v>
      </c>
      <c r="U37" s="14">
        <f t="shared" ref="U37:U38" si="3">N37/N$13</f>
        <v>0.82526153846153849</v>
      </c>
      <c r="V37" s="14">
        <f t="shared" ref="V37:V38" si="4">O37/O$13</f>
        <v>0.84808000000000006</v>
      </c>
      <c r="W37" s="14">
        <f t="shared" ref="W37:W38" si="5">P37/P$13</f>
        <v>0.86375598086124405</v>
      </c>
      <c r="X37" s="14">
        <f t="shared" ref="X37:X38" si="6">Q37/Q$13</f>
        <v>0.86627397260273975</v>
      </c>
      <c r="Y37" s="14">
        <f t="shared" ref="Y37:Y38" si="7">R37/R$13</f>
        <v>0.88493696275071632</v>
      </c>
      <c r="AA37" s="10">
        <v>300</v>
      </c>
      <c r="AB37" s="14">
        <f t="shared" ref="AB37:AB38" si="8">1-U37</f>
        <v>0.17473846153846151</v>
      </c>
      <c r="AC37" s="14">
        <f t="shared" ref="AC37:AC38" si="9">1-V37</f>
        <v>0.15191999999999994</v>
      </c>
      <c r="AD37" s="14">
        <f t="shared" ref="AD37:AD38" si="10">1-W37</f>
        <v>0.13624401913875595</v>
      </c>
      <c r="AE37" s="14">
        <f t="shared" ref="AE37:AE38" si="11">1-X37</f>
        <v>0.13372602739726025</v>
      </c>
      <c r="AF37" s="14">
        <f t="shared" ref="AF37:AF38" si="12">1-Y37</f>
        <v>0.11506303724928368</v>
      </c>
    </row>
    <row r="38" spans="5:32" x14ac:dyDescent="0.25">
      <c r="F38" s="10" t="s">
        <v>68</v>
      </c>
      <c r="G38" s="26">
        <v>118.7</v>
      </c>
      <c r="H38" s="26">
        <v>88.41</v>
      </c>
      <c r="I38" s="26">
        <v>72.44</v>
      </c>
      <c r="J38" s="26">
        <v>69.87</v>
      </c>
      <c r="K38" s="26">
        <v>50.58</v>
      </c>
      <c r="M38" s="10" t="s">
        <v>68</v>
      </c>
      <c r="N38" s="26">
        <v>7.4782000000000002</v>
      </c>
      <c r="O38" s="26">
        <v>11.1852</v>
      </c>
      <c r="P38" s="26">
        <v>14.09</v>
      </c>
      <c r="Q38" s="26">
        <v>14.9208</v>
      </c>
      <c r="R38" s="26">
        <v>25.750699999999998</v>
      </c>
      <c r="S38" s="23">
        <f t="shared" si="2"/>
        <v>960</v>
      </c>
      <c r="T38" s="10">
        <v>600</v>
      </c>
      <c r="U38" s="14">
        <f t="shared" si="3"/>
        <v>0.57524615384615385</v>
      </c>
      <c r="V38" s="14">
        <f t="shared" si="4"/>
        <v>0.63915428571428567</v>
      </c>
      <c r="W38" s="14">
        <f t="shared" si="5"/>
        <v>0.67416267942583741</v>
      </c>
      <c r="X38" s="14">
        <f t="shared" si="6"/>
        <v>0.68131506849315071</v>
      </c>
      <c r="Y38" s="14">
        <f t="shared" si="7"/>
        <v>0.73784240687679081</v>
      </c>
      <c r="AA38" s="10">
        <v>600</v>
      </c>
      <c r="AB38" s="14">
        <f t="shared" si="8"/>
        <v>0.42475384615384615</v>
      </c>
      <c r="AC38" s="14">
        <f t="shared" si="9"/>
        <v>0.36084571428571433</v>
      </c>
      <c r="AD38" s="14">
        <f t="shared" si="10"/>
        <v>0.32583732057416259</v>
      </c>
      <c r="AE38" s="14">
        <f t="shared" si="11"/>
        <v>0.31868493150684929</v>
      </c>
      <c r="AF38" s="14">
        <f t="shared" si="12"/>
        <v>0.26215759312320919</v>
      </c>
    </row>
    <row r="41" spans="5:32" x14ac:dyDescent="0.25">
      <c r="M41" s="23"/>
      <c r="N41" s="44" t="s">
        <v>178</v>
      </c>
      <c r="O41" s="44"/>
      <c r="P41" s="44"/>
      <c r="Q41" s="44"/>
      <c r="R41" s="44"/>
    </row>
    <row r="42" spans="5:32" x14ac:dyDescent="0.25">
      <c r="M42" s="10" t="s">
        <v>171</v>
      </c>
      <c r="N42" s="46" t="s">
        <v>172</v>
      </c>
      <c r="O42" s="46"/>
      <c r="P42" s="46" t="s">
        <v>173</v>
      </c>
      <c r="Q42" s="46"/>
      <c r="R42" s="39" t="s">
        <v>174</v>
      </c>
    </row>
    <row r="43" spans="5:32" x14ac:dyDescent="0.25">
      <c r="M43" s="10" t="s">
        <v>175</v>
      </c>
      <c r="N43" s="39">
        <v>27</v>
      </c>
      <c r="O43" s="39">
        <v>31.5</v>
      </c>
      <c r="P43" s="39">
        <v>35</v>
      </c>
      <c r="Q43" s="39">
        <v>36</v>
      </c>
      <c r="R43" s="39">
        <v>49</v>
      </c>
    </row>
    <row r="44" spans="5:32" x14ac:dyDescent="0.25">
      <c r="M44" s="10">
        <v>150</v>
      </c>
      <c r="N44" s="26">
        <f>N$13-N36</f>
        <v>0.64000000000000057</v>
      </c>
      <c r="O44" s="26">
        <f t="shared" ref="O44:R44" si="13">O$13-O36</f>
        <v>0.80000000000000071</v>
      </c>
      <c r="P44" s="26">
        <f t="shared" si="13"/>
        <v>0.87800000000000011</v>
      </c>
      <c r="Q44" s="26">
        <f t="shared" si="13"/>
        <v>0.91199999999999903</v>
      </c>
      <c r="R44" s="26">
        <f t="shared" si="13"/>
        <v>1.4759999999999991</v>
      </c>
    </row>
    <row r="45" spans="5:32" x14ac:dyDescent="0.25">
      <c r="M45" s="10">
        <v>300</v>
      </c>
      <c r="N45" s="26">
        <f t="shared" ref="N45:R45" si="14">N$13-N37</f>
        <v>2.2715999999999994</v>
      </c>
      <c r="O45" s="26">
        <f t="shared" si="14"/>
        <v>2.6585999999999999</v>
      </c>
      <c r="P45" s="26">
        <f t="shared" si="14"/>
        <v>2.8475000000000001</v>
      </c>
      <c r="Q45" s="26">
        <f t="shared" si="14"/>
        <v>2.9285999999999994</v>
      </c>
      <c r="R45" s="26">
        <f t="shared" si="14"/>
        <v>4.0156999999999989</v>
      </c>
    </row>
    <row r="46" spans="5:32" x14ac:dyDescent="0.25">
      <c r="M46" s="10">
        <v>600</v>
      </c>
      <c r="N46" s="26">
        <f t="shared" ref="N46:R46" si="15">N$13-N38</f>
        <v>5.5217999999999998</v>
      </c>
      <c r="O46" s="26">
        <f t="shared" si="15"/>
        <v>6.3148</v>
      </c>
      <c r="P46" s="26">
        <f t="shared" si="15"/>
        <v>6.8099999999999987</v>
      </c>
      <c r="Q46" s="26">
        <f t="shared" si="15"/>
        <v>6.9791999999999987</v>
      </c>
      <c r="R46" s="26">
        <f t="shared" si="15"/>
        <v>9.1493000000000002</v>
      </c>
    </row>
  </sheetData>
  <mergeCells count="32">
    <mergeCell ref="N41:R41"/>
    <mergeCell ref="N42:O42"/>
    <mergeCell ref="P42:Q42"/>
    <mergeCell ref="U33:Y33"/>
    <mergeCell ref="U34:V34"/>
    <mergeCell ref="W34:X34"/>
    <mergeCell ref="AB33:AF33"/>
    <mergeCell ref="AB34:AC34"/>
    <mergeCell ref="AD34:AE34"/>
    <mergeCell ref="G33:K33"/>
    <mergeCell ref="G34:H34"/>
    <mergeCell ref="I34:J34"/>
    <mergeCell ref="N33:R33"/>
    <mergeCell ref="N34:O34"/>
    <mergeCell ref="P34:Q34"/>
    <mergeCell ref="D13:D14"/>
    <mergeCell ref="D18:D20"/>
    <mergeCell ref="F10:J10"/>
    <mergeCell ref="N10:R10"/>
    <mergeCell ref="N11:O11"/>
    <mergeCell ref="P11:Q11"/>
    <mergeCell ref="L13:L14"/>
    <mergeCell ref="L15:L17"/>
    <mergeCell ref="L18:L20"/>
    <mergeCell ref="D15:D17"/>
    <mergeCell ref="W10:AA10"/>
    <mergeCell ref="W11:X11"/>
    <mergeCell ref="Y11:Z11"/>
    <mergeCell ref="C5:C6"/>
    <mergeCell ref="C7:C8"/>
    <mergeCell ref="F11:G11"/>
    <mergeCell ref="H11:I11"/>
  </mergeCells>
  <pageMargins left="0.7" right="0.7" top="0.75" bottom="0.75" header="0.3" footer="0.3"/>
  <pageSetup orientation="portrait" r:id="rId1"/>
  <headerFooter>
    <oddFooter>&amp;L&amp;1#&amp;"Arial"&amp;10&amp;K000000Saudi Aramco: Public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909BD8-F030-4602-B8B5-4AEAE6662508}">
  <dimension ref="B4:E73"/>
  <sheetViews>
    <sheetView workbookViewId="0">
      <selection activeCell="F21" sqref="F21"/>
    </sheetView>
  </sheetViews>
  <sheetFormatPr defaultColWidth="11.28515625" defaultRowHeight="15" x14ac:dyDescent="0.25"/>
  <cols>
    <col min="2" max="2" width="24.28515625" bestFit="1" customWidth="1"/>
    <col min="3" max="3" width="11.140625" style="43" bestFit="1" customWidth="1"/>
    <col min="4" max="4" width="16.85546875" customWidth="1"/>
    <col min="5" max="5" width="19.7109375" style="43" bestFit="1" customWidth="1"/>
    <col min="6" max="6" width="15.5703125" bestFit="1" customWidth="1"/>
    <col min="7" max="7" width="20" bestFit="1" customWidth="1"/>
  </cols>
  <sheetData>
    <row r="4" spans="2:5" ht="31.5" customHeight="1" thickBot="1" x14ac:dyDescent="0.3">
      <c r="B4" s="109" t="s">
        <v>260</v>
      </c>
      <c r="C4" s="109"/>
      <c r="D4" s="109"/>
      <c r="E4" s="109"/>
    </row>
    <row r="5" spans="2:5" ht="16.5" thickBot="1" x14ac:dyDescent="0.3">
      <c r="B5" s="107" t="s">
        <v>261</v>
      </c>
      <c r="C5" s="113" t="s">
        <v>262</v>
      </c>
      <c r="D5" s="108" t="s">
        <v>263</v>
      </c>
      <c r="E5" s="115" t="s">
        <v>264</v>
      </c>
    </row>
    <row r="6" spans="2:5" ht="18" x14ac:dyDescent="0.25">
      <c r="B6" s="111" t="s">
        <v>265</v>
      </c>
      <c r="C6" s="114">
        <v>14.7</v>
      </c>
      <c r="D6" s="31" t="s">
        <v>266</v>
      </c>
      <c r="E6" s="116">
        <v>2014</v>
      </c>
    </row>
    <row r="7" spans="2:5" ht="18" x14ac:dyDescent="0.25">
      <c r="B7" s="110"/>
      <c r="C7" s="114">
        <v>14</v>
      </c>
      <c r="D7" s="31" t="s">
        <v>267</v>
      </c>
      <c r="E7" s="116">
        <v>2015</v>
      </c>
    </row>
    <row r="8" spans="2:5" ht="33.75" x14ac:dyDescent="0.25">
      <c r="B8" s="110"/>
      <c r="C8" s="114">
        <v>14.4</v>
      </c>
      <c r="D8" s="31" t="s">
        <v>268</v>
      </c>
      <c r="E8" s="116">
        <v>2015</v>
      </c>
    </row>
    <row r="9" spans="2:5" ht="18" x14ac:dyDescent="0.25">
      <c r="B9" s="110"/>
      <c r="C9" s="114">
        <v>14.6</v>
      </c>
      <c r="D9" s="31" t="s">
        <v>269</v>
      </c>
      <c r="E9" s="116">
        <v>2015</v>
      </c>
    </row>
    <row r="10" spans="2:5" ht="18" x14ac:dyDescent="0.25">
      <c r="B10" s="110"/>
      <c r="C10" s="114">
        <v>15</v>
      </c>
      <c r="D10" s="31" t="s">
        <v>270</v>
      </c>
      <c r="E10" s="116">
        <v>2015</v>
      </c>
    </row>
    <row r="11" spans="2:5" ht="18" x14ac:dyDescent="0.25">
      <c r="B11" s="110"/>
      <c r="C11" s="114">
        <v>15.7</v>
      </c>
      <c r="D11" s="31" t="s">
        <v>271</v>
      </c>
      <c r="E11" s="116">
        <v>2016</v>
      </c>
    </row>
    <row r="12" spans="2:5" ht="18" x14ac:dyDescent="0.25">
      <c r="B12" s="110"/>
      <c r="C12" s="114">
        <v>14.4</v>
      </c>
      <c r="D12" s="31" t="s">
        <v>272</v>
      </c>
      <c r="E12" s="116">
        <v>2017</v>
      </c>
    </row>
    <row r="13" spans="2:5" ht="18.75" thickBot="1" x14ac:dyDescent="0.3">
      <c r="B13" s="112"/>
      <c r="C13" s="113">
        <v>16</v>
      </c>
      <c r="D13" s="108" t="s">
        <v>273</v>
      </c>
      <c r="E13" s="115">
        <v>2019</v>
      </c>
    </row>
    <row r="14" spans="2:5" ht="18" x14ac:dyDescent="0.25">
      <c r="B14" s="111" t="s">
        <v>274</v>
      </c>
      <c r="C14" s="114">
        <v>10.5</v>
      </c>
      <c r="D14" s="31" t="s">
        <v>266</v>
      </c>
      <c r="E14" s="116">
        <v>2014</v>
      </c>
    </row>
    <row r="15" spans="2:5" ht="18" x14ac:dyDescent="0.25">
      <c r="B15" s="110"/>
      <c r="C15" s="114">
        <v>6</v>
      </c>
      <c r="D15" s="31" t="s">
        <v>272</v>
      </c>
      <c r="E15" s="116">
        <v>2017</v>
      </c>
    </row>
    <row r="16" spans="2:5" ht="18.75" thickBot="1" x14ac:dyDescent="0.3">
      <c r="B16" s="112"/>
      <c r="C16" s="113">
        <v>7.6</v>
      </c>
      <c r="D16" s="108" t="s">
        <v>273</v>
      </c>
      <c r="E16" s="115">
        <v>2019</v>
      </c>
    </row>
    <row r="17" spans="2:5" ht="18" x14ac:dyDescent="0.25">
      <c r="B17" s="111" t="s">
        <v>275</v>
      </c>
      <c r="C17" s="114">
        <v>43.1</v>
      </c>
      <c r="D17" s="31" t="s">
        <v>266</v>
      </c>
      <c r="E17" s="116">
        <v>2014</v>
      </c>
    </row>
    <row r="18" spans="2:5" ht="18" x14ac:dyDescent="0.25">
      <c r="B18" s="110"/>
      <c r="C18" s="114">
        <v>41.4</v>
      </c>
      <c r="D18" s="31" t="s">
        <v>276</v>
      </c>
      <c r="E18" s="116">
        <v>2015</v>
      </c>
    </row>
    <row r="19" spans="2:5" ht="33.75" x14ac:dyDescent="0.25">
      <c r="B19" s="110"/>
      <c r="C19" s="114">
        <v>42.2</v>
      </c>
      <c r="D19" s="31" t="s">
        <v>277</v>
      </c>
      <c r="E19" s="116">
        <v>2015</v>
      </c>
    </row>
    <row r="20" spans="2:5" ht="33.75" x14ac:dyDescent="0.25">
      <c r="B20" s="110"/>
      <c r="C20" s="114">
        <v>46</v>
      </c>
      <c r="D20" s="31" t="s">
        <v>277</v>
      </c>
      <c r="E20" s="116">
        <v>2015</v>
      </c>
    </row>
    <row r="21" spans="2:5" ht="33.75" x14ac:dyDescent="0.25">
      <c r="B21" s="110"/>
      <c r="C21" s="114">
        <v>45.9</v>
      </c>
      <c r="D21" s="31" t="s">
        <v>268</v>
      </c>
      <c r="E21" s="116">
        <v>2015</v>
      </c>
    </row>
    <row r="22" spans="2:5" ht="33.75" x14ac:dyDescent="0.25">
      <c r="B22" s="110"/>
      <c r="C22" s="114">
        <v>45</v>
      </c>
      <c r="D22" s="31" t="s">
        <v>278</v>
      </c>
      <c r="E22" s="116">
        <v>2016</v>
      </c>
    </row>
    <row r="23" spans="2:5" ht="18" x14ac:dyDescent="0.25">
      <c r="B23" s="110"/>
      <c r="C23" s="114">
        <v>41.9</v>
      </c>
      <c r="D23" s="31" t="s">
        <v>272</v>
      </c>
      <c r="E23" s="116">
        <v>2017</v>
      </c>
    </row>
    <row r="24" spans="2:5" ht="18" x14ac:dyDescent="0.25">
      <c r="B24" s="110"/>
      <c r="C24" s="114">
        <v>44.8</v>
      </c>
      <c r="D24" s="31" t="s">
        <v>272</v>
      </c>
      <c r="E24" s="116">
        <v>2017</v>
      </c>
    </row>
    <row r="25" spans="2:5" ht="18" x14ac:dyDescent="0.25">
      <c r="B25" s="110"/>
      <c r="C25" s="114">
        <v>41.3</v>
      </c>
      <c r="D25" s="31" t="s">
        <v>273</v>
      </c>
      <c r="E25" s="116">
        <v>2019</v>
      </c>
    </row>
    <row r="26" spans="2:5" ht="18.75" thickBot="1" x14ac:dyDescent="0.3">
      <c r="B26" s="112"/>
      <c r="C26" s="113">
        <v>43</v>
      </c>
      <c r="D26" s="108" t="s">
        <v>273</v>
      </c>
      <c r="E26" s="115">
        <v>2019</v>
      </c>
    </row>
    <row r="27" spans="2:5" ht="18" x14ac:dyDescent="0.25">
      <c r="B27" s="111" t="s">
        <v>279</v>
      </c>
      <c r="C27" s="114">
        <v>5.14</v>
      </c>
      <c r="D27" s="31" t="s">
        <v>280</v>
      </c>
      <c r="E27" s="116">
        <v>2010</v>
      </c>
    </row>
    <row r="28" spans="2:5" ht="18" x14ac:dyDescent="0.25">
      <c r="B28" s="110"/>
      <c r="C28" s="114">
        <v>5.23</v>
      </c>
      <c r="D28" s="31" t="s">
        <v>281</v>
      </c>
      <c r="E28" s="116">
        <v>2010</v>
      </c>
    </row>
    <row r="29" spans="2:5" ht="33.75" x14ac:dyDescent="0.25">
      <c r="B29" s="110"/>
      <c r="C29" s="114">
        <v>5.48</v>
      </c>
      <c r="D29" s="31" t="s">
        <v>282</v>
      </c>
      <c r="E29" s="116">
        <v>2011</v>
      </c>
    </row>
    <row r="30" spans="2:5" ht="18" x14ac:dyDescent="0.25">
      <c r="B30" s="110"/>
      <c r="C30" s="114">
        <v>6.8</v>
      </c>
      <c r="D30" s="31" t="s">
        <v>283</v>
      </c>
      <c r="E30" s="116">
        <v>2011</v>
      </c>
    </row>
    <row r="31" spans="2:5" ht="18" x14ac:dyDescent="0.25">
      <c r="B31" s="110"/>
      <c r="C31" s="114">
        <v>5.5</v>
      </c>
      <c r="D31" s="31" t="s">
        <v>284</v>
      </c>
      <c r="E31" s="116">
        <v>2014</v>
      </c>
    </row>
    <row r="32" spans="2:5" ht="18" x14ac:dyDescent="0.25">
      <c r="B32" s="110"/>
      <c r="C32" s="114">
        <v>5.7</v>
      </c>
      <c r="D32" s="31" t="s">
        <v>266</v>
      </c>
      <c r="E32" s="116">
        <v>2014</v>
      </c>
    </row>
    <row r="33" spans="2:5" ht="33.75" x14ac:dyDescent="0.25">
      <c r="B33" s="110"/>
      <c r="C33" s="114">
        <v>5.37</v>
      </c>
      <c r="D33" s="31" t="s">
        <v>268</v>
      </c>
      <c r="E33" s="116">
        <v>2015</v>
      </c>
    </row>
    <row r="34" spans="2:5" ht="18" x14ac:dyDescent="0.25">
      <c r="B34" s="110"/>
      <c r="C34" s="114">
        <v>5.01</v>
      </c>
      <c r="D34" s="31" t="s">
        <v>285</v>
      </c>
      <c r="E34" s="116">
        <v>2015</v>
      </c>
    </row>
    <row r="35" spans="2:5" ht="18" x14ac:dyDescent="0.25">
      <c r="B35" s="110"/>
      <c r="C35" s="114">
        <v>6.2</v>
      </c>
      <c r="D35" s="31" t="s">
        <v>267</v>
      </c>
      <c r="E35" s="116">
        <v>2015</v>
      </c>
    </row>
    <row r="36" spans="2:5" ht="33.75" x14ac:dyDescent="0.25">
      <c r="B36" s="110"/>
      <c r="C36" s="114">
        <v>6.3</v>
      </c>
      <c r="D36" s="31" t="s">
        <v>286</v>
      </c>
      <c r="E36" s="116">
        <v>2015</v>
      </c>
    </row>
    <row r="37" spans="2:5" ht="33.75" x14ac:dyDescent="0.25">
      <c r="B37" s="110"/>
      <c r="C37" s="114">
        <v>5.8</v>
      </c>
      <c r="D37" s="31" t="s">
        <v>277</v>
      </c>
      <c r="E37" s="116">
        <v>2015</v>
      </c>
    </row>
    <row r="38" spans="2:5" ht="18" x14ac:dyDescent="0.25">
      <c r="B38" s="110"/>
      <c r="C38" s="114">
        <v>6.31</v>
      </c>
      <c r="D38" s="31" t="s">
        <v>287</v>
      </c>
      <c r="E38" s="116">
        <v>2015</v>
      </c>
    </row>
    <row r="39" spans="2:5" ht="18" x14ac:dyDescent="0.25">
      <c r="B39" s="110"/>
      <c r="C39" s="114">
        <v>6.02</v>
      </c>
      <c r="D39" s="31" t="s">
        <v>288</v>
      </c>
      <c r="E39" s="116">
        <v>2015</v>
      </c>
    </row>
    <row r="40" spans="2:5" ht="18" x14ac:dyDescent="0.25">
      <c r="B40" s="110"/>
      <c r="C40" s="114">
        <v>6.13</v>
      </c>
      <c r="D40" s="31" t="s">
        <v>289</v>
      </c>
      <c r="E40" s="116">
        <v>2016</v>
      </c>
    </row>
    <row r="41" spans="2:5" ht="18" x14ac:dyDescent="0.25">
      <c r="B41" s="110"/>
      <c r="C41" s="114">
        <v>5.5</v>
      </c>
      <c r="D41" s="31" t="s">
        <v>272</v>
      </c>
      <c r="E41" s="116">
        <v>2017</v>
      </c>
    </row>
    <row r="42" spans="2:5" ht="18.75" thickBot="1" x14ac:dyDescent="0.3">
      <c r="B42" s="112"/>
      <c r="C42" s="113">
        <v>6.8</v>
      </c>
      <c r="D42" s="108" t="s">
        <v>273</v>
      </c>
      <c r="E42" s="115">
        <v>2019</v>
      </c>
    </row>
    <row r="43" spans="2:5" ht="33.75" x14ac:dyDescent="0.25">
      <c r="B43" s="111" t="s">
        <v>290</v>
      </c>
      <c r="C43" s="114">
        <v>0.47</v>
      </c>
      <c r="D43" s="31" t="s">
        <v>291</v>
      </c>
      <c r="E43" s="116">
        <v>2010</v>
      </c>
    </row>
    <row r="44" spans="2:5" ht="33.75" x14ac:dyDescent="0.25">
      <c r="B44" s="110"/>
      <c r="C44" s="114">
        <v>0.65</v>
      </c>
      <c r="D44" s="31" t="s">
        <v>291</v>
      </c>
      <c r="E44" s="116">
        <v>2010</v>
      </c>
    </row>
    <row r="45" spans="2:5" ht="18" x14ac:dyDescent="0.25">
      <c r="B45" s="110"/>
      <c r="C45" s="114">
        <v>0.75</v>
      </c>
      <c r="D45" s="31" t="s">
        <v>280</v>
      </c>
      <c r="E45" s="116">
        <v>2010</v>
      </c>
    </row>
    <row r="46" spans="2:5" ht="18" x14ac:dyDescent="0.25">
      <c r="B46" s="110"/>
      <c r="C46" s="114">
        <v>0.75</v>
      </c>
      <c r="D46" s="31" t="s">
        <v>281</v>
      </c>
      <c r="E46" s="116">
        <v>2010</v>
      </c>
    </row>
    <row r="47" spans="2:5" ht="18" x14ac:dyDescent="0.25">
      <c r="B47" s="110"/>
      <c r="C47" s="114">
        <v>0.6</v>
      </c>
      <c r="D47" s="31" t="s">
        <v>283</v>
      </c>
      <c r="E47" s="116">
        <v>2011</v>
      </c>
    </row>
    <row r="48" spans="2:5" ht="33.75" x14ac:dyDescent="0.25">
      <c r="B48" s="110"/>
      <c r="C48" s="114">
        <v>0.69</v>
      </c>
      <c r="D48" s="31" t="s">
        <v>282</v>
      </c>
      <c r="E48" s="116">
        <v>2011</v>
      </c>
    </row>
    <row r="49" spans="2:5" ht="18" x14ac:dyDescent="0.25">
      <c r="B49" s="110"/>
      <c r="C49" s="114">
        <v>0.61</v>
      </c>
      <c r="D49" s="31" t="s">
        <v>292</v>
      </c>
      <c r="E49" s="116">
        <v>2013</v>
      </c>
    </row>
    <row r="50" spans="2:5" ht="18" x14ac:dyDescent="0.25">
      <c r="B50" s="110"/>
      <c r="C50" s="114">
        <v>0.55000000000000004</v>
      </c>
      <c r="D50" s="31" t="s">
        <v>292</v>
      </c>
      <c r="E50" s="116">
        <v>2013</v>
      </c>
    </row>
    <row r="51" spans="2:5" ht="18" x14ac:dyDescent="0.25">
      <c r="B51" s="110"/>
      <c r="C51" s="114">
        <v>0.57999999999999996</v>
      </c>
      <c r="D51" s="31" t="s">
        <v>266</v>
      </c>
      <c r="E51" s="116">
        <v>2014</v>
      </c>
    </row>
    <row r="52" spans="2:5" ht="18" x14ac:dyDescent="0.25">
      <c r="B52" s="110"/>
      <c r="C52" s="114">
        <v>0.62</v>
      </c>
      <c r="D52" s="31" t="s">
        <v>284</v>
      </c>
      <c r="E52" s="116">
        <v>2014</v>
      </c>
    </row>
    <row r="53" spans="2:5" ht="18" x14ac:dyDescent="0.25">
      <c r="B53" s="110"/>
      <c r="C53" s="114">
        <v>0.62</v>
      </c>
      <c r="D53" s="31" t="s">
        <v>293</v>
      </c>
      <c r="E53" s="116">
        <v>2015</v>
      </c>
    </row>
    <row r="54" spans="2:5" ht="33.75" x14ac:dyDescent="0.25">
      <c r="B54" s="110"/>
      <c r="C54" s="114">
        <v>0.53</v>
      </c>
      <c r="D54" s="31" t="s">
        <v>268</v>
      </c>
      <c r="E54" s="116">
        <v>2015</v>
      </c>
    </row>
    <row r="55" spans="2:5" ht="18" x14ac:dyDescent="0.25">
      <c r="B55" s="110"/>
      <c r="C55" s="114">
        <v>0.61</v>
      </c>
      <c r="D55" s="31" t="s">
        <v>287</v>
      </c>
      <c r="E55" s="116">
        <v>2015</v>
      </c>
    </row>
    <row r="56" spans="2:5" ht="33.75" x14ac:dyDescent="0.25">
      <c r="B56" s="110"/>
      <c r="C56" s="114">
        <v>0.56999999999999995</v>
      </c>
      <c r="D56" s="31" t="s">
        <v>277</v>
      </c>
      <c r="E56" s="116">
        <v>2015</v>
      </c>
    </row>
    <row r="57" spans="2:5" ht="18" x14ac:dyDescent="0.25">
      <c r="B57" s="110"/>
      <c r="C57" s="114">
        <v>0.57999999999999996</v>
      </c>
      <c r="D57" s="31" t="s">
        <v>293</v>
      </c>
      <c r="E57" s="116">
        <v>2015</v>
      </c>
    </row>
    <row r="58" spans="2:5" ht="18" x14ac:dyDescent="0.25">
      <c r="B58" s="110"/>
      <c r="C58" s="114">
        <v>0.59</v>
      </c>
      <c r="D58" s="31" t="s">
        <v>267</v>
      </c>
      <c r="E58" s="116">
        <v>2015</v>
      </c>
    </row>
    <row r="59" spans="2:5" ht="18" x14ac:dyDescent="0.25">
      <c r="B59" s="110"/>
      <c r="C59" s="114">
        <v>0.65</v>
      </c>
      <c r="D59" s="31" t="s">
        <v>285</v>
      </c>
      <c r="E59" s="116">
        <v>2015</v>
      </c>
    </row>
    <row r="60" spans="2:5" ht="18" x14ac:dyDescent="0.25">
      <c r="B60" s="110"/>
      <c r="C60" s="114">
        <v>0.67</v>
      </c>
      <c r="D60" s="31" t="s">
        <v>293</v>
      </c>
      <c r="E60" s="116">
        <v>2015</v>
      </c>
    </row>
    <row r="61" spans="2:5" ht="18" x14ac:dyDescent="0.25">
      <c r="B61" s="110"/>
      <c r="C61" s="114">
        <v>0.72</v>
      </c>
      <c r="D61" s="31" t="s">
        <v>294</v>
      </c>
      <c r="E61" s="116">
        <v>2015</v>
      </c>
    </row>
    <row r="62" spans="2:5" ht="18" x14ac:dyDescent="0.25">
      <c r="B62" s="110"/>
      <c r="C62" s="114">
        <v>0.6</v>
      </c>
      <c r="D62" s="31" t="s">
        <v>272</v>
      </c>
      <c r="E62" s="116">
        <v>2017</v>
      </c>
    </row>
    <row r="63" spans="2:5" ht="18.75" thickBot="1" x14ac:dyDescent="0.3">
      <c r="B63" s="112"/>
      <c r="C63" s="113" t="s">
        <v>295</v>
      </c>
      <c r="D63" s="108" t="s">
        <v>273</v>
      </c>
      <c r="E63" s="115">
        <v>2019</v>
      </c>
    </row>
    <row r="64" spans="2:5" ht="18" x14ac:dyDescent="0.25">
      <c r="B64" s="111" t="s">
        <v>296</v>
      </c>
      <c r="C64" s="114">
        <v>5.54</v>
      </c>
      <c r="D64" s="31" t="s">
        <v>266</v>
      </c>
      <c r="E64" s="116">
        <v>2014</v>
      </c>
    </row>
    <row r="65" spans="2:5" ht="18" x14ac:dyDescent="0.25">
      <c r="B65" s="110"/>
      <c r="C65" s="114">
        <v>7.42</v>
      </c>
      <c r="D65" s="31" t="s">
        <v>285</v>
      </c>
      <c r="E65" s="116">
        <v>2015</v>
      </c>
    </row>
    <row r="66" spans="2:5" ht="33.75" x14ac:dyDescent="0.25">
      <c r="B66" s="110"/>
      <c r="C66" s="114">
        <v>7.24</v>
      </c>
      <c r="D66" s="31" t="s">
        <v>297</v>
      </c>
      <c r="E66" s="116">
        <v>2015</v>
      </c>
    </row>
    <row r="67" spans="2:5" ht="18" x14ac:dyDescent="0.25">
      <c r="B67" s="110"/>
      <c r="C67" s="114">
        <v>7.19</v>
      </c>
      <c r="D67" s="31" t="s">
        <v>276</v>
      </c>
      <c r="E67" s="116">
        <v>2015</v>
      </c>
    </row>
    <row r="68" spans="2:5" ht="18" x14ac:dyDescent="0.25">
      <c r="B68" s="110"/>
      <c r="C68" s="114">
        <v>7.11</v>
      </c>
      <c r="D68" s="31" t="s">
        <v>267</v>
      </c>
      <c r="E68" s="116">
        <v>2015</v>
      </c>
    </row>
    <row r="69" spans="2:5" ht="18" x14ac:dyDescent="0.25">
      <c r="B69" s="110"/>
      <c r="C69" s="114">
        <v>6.88</v>
      </c>
      <c r="D69" s="31" t="s">
        <v>285</v>
      </c>
      <c r="E69" s="116">
        <v>2015</v>
      </c>
    </row>
    <row r="70" spans="2:5" ht="33.75" x14ac:dyDescent="0.25">
      <c r="B70" s="110"/>
      <c r="C70" s="114">
        <v>6.82</v>
      </c>
      <c r="D70" s="31" t="s">
        <v>268</v>
      </c>
      <c r="E70" s="116">
        <v>2015</v>
      </c>
    </row>
    <row r="71" spans="2:5" ht="18" x14ac:dyDescent="0.25">
      <c r="B71" s="110"/>
      <c r="C71" s="114">
        <v>7.84</v>
      </c>
      <c r="D71" s="31" t="s">
        <v>271</v>
      </c>
      <c r="E71" s="116">
        <v>2016</v>
      </c>
    </row>
    <row r="72" spans="2:5" ht="33.75" x14ac:dyDescent="0.25">
      <c r="B72" s="110"/>
      <c r="C72" s="114">
        <v>6.68</v>
      </c>
      <c r="D72" s="31" t="s">
        <v>298</v>
      </c>
      <c r="E72" s="116">
        <v>2016</v>
      </c>
    </row>
    <row r="73" spans="2:5" ht="18.75" thickBot="1" x14ac:dyDescent="0.3">
      <c r="B73" s="112"/>
      <c r="C73" s="113">
        <v>7.11</v>
      </c>
      <c r="D73" s="108" t="s">
        <v>272</v>
      </c>
      <c r="E73" s="115">
        <v>2017</v>
      </c>
    </row>
  </sheetData>
  <mergeCells count="7">
    <mergeCell ref="B17:B26"/>
    <mergeCell ref="B27:B42"/>
    <mergeCell ref="B43:B63"/>
    <mergeCell ref="B64:B73"/>
    <mergeCell ref="B4:E4"/>
    <mergeCell ref="B6:B13"/>
    <mergeCell ref="B14:B16"/>
  </mergeCells>
  <pageMargins left="0.7" right="0.7" top="0.75" bottom="0.75" header="0.3" footer="0.3"/>
  <pageSetup orientation="portrait" r:id="rId1"/>
  <headerFooter>
    <oddFooter>&amp;L&amp;1#&amp;"Arial"&amp;10&amp;K000000Saudi Aramco: Public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C0167C-C885-4495-A2A7-0E173B21B44B}">
  <dimension ref="C5:R20"/>
  <sheetViews>
    <sheetView workbookViewId="0">
      <selection activeCell="V9" sqref="V9"/>
    </sheetView>
  </sheetViews>
  <sheetFormatPr defaultRowHeight="15" x14ac:dyDescent="0.25"/>
  <sheetData>
    <row r="5" spans="3:18" ht="47.25" customHeight="1" x14ac:dyDescent="0.25">
      <c r="C5" s="127" t="s">
        <v>299</v>
      </c>
      <c r="D5" s="127"/>
      <c r="E5" s="127"/>
      <c r="F5" s="127"/>
      <c r="G5" s="127"/>
      <c r="H5" s="127"/>
      <c r="L5" s="127" t="s">
        <v>346</v>
      </c>
      <c r="M5" s="127"/>
      <c r="N5" s="127"/>
      <c r="O5" s="127"/>
      <c r="P5" s="127"/>
      <c r="Q5" s="127"/>
      <c r="R5" s="127"/>
    </row>
    <row r="6" spans="3:18" ht="31.5" x14ac:dyDescent="0.25">
      <c r="C6" s="128" t="s">
        <v>300</v>
      </c>
      <c r="D6" s="129"/>
      <c r="E6" s="132" t="s">
        <v>301</v>
      </c>
      <c r="F6" s="117" t="s">
        <v>262</v>
      </c>
      <c r="G6" s="117" t="s">
        <v>262</v>
      </c>
      <c r="H6" s="132" t="s">
        <v>193</v>
      </c>
      <c r="L6" s="128" t="s">
        <v>300</v>
      </c>
      <c r="M6" s="129"/>
      <c r="N6" s="132" t="s">
        <v>301</v>
      </c>
      <c r="O6" s="117" t="s">
        <v>347</v>
      </c>
      <c r="P6" s="117" t="s">
        <v>349</v>
      </c>
      <c r="Q6" s="117" t="s">
        <v>351</v>
      </c>
      <c r="R6" s="117" t="s">
        <v>101</v>
      </c>
    </row>
    <row r="7" spans="3:18" ht="32.25" thickBot="1" x14ac:dyDescent="0.3">
      <c r="C7" s="130"/>
      <c r="D7" s="131"/>
      <c r="E7" s="133"/>
      <c r="F7" s="118" t="s">
        <v>302</v>
      </c>
      <c r="G7" s="118" t="s">
        <v>303</v>
      </c>
      <c r="H7" s="133"/>
      <c r="L7" s="130"/>
      <c r="M7" s="131"/>
      <c r="N7" s="133"/>
      <c r="O7" s="134" t="s">
        <v>348</v>
      </c>
      <c r="P7" s="134" t="s">
        <v>350</v>
      </c>
      <c r="Q7" s="134" t="s">
        <v>350</v>
      </c>
      <c r="R7" s="134" t="s">
        <v>350</v>
      </c>
    </row>
    <row r="8" spans="3:18" ht="48" thickBot="1" x14ac:dyDescent="0.3">
      <c r="C8" s="119" t="s">
        <v>304</v>
      </c>
      <c r="D8" s="120" t="s">
        <v>305</v>
      </c>
      <c r="E8" s="120" t="s">
        <v>306</v>
      </c>
      <c r="F8" s="120">
        <v>0.01</v>
      </c>
      <c r="G8" s="120">
        <v>0.01</v>
      </c>
      <c r="H8" s="121" t="s">
        <v>307</v>
      </c>
      <c r="L8" s="125" t="s">
        <v>352</v>
      </c>
      <c r="M8" s="126" t="s">
        <v>353</v>
      </c>
      <c r="N8" s="126" t="s">
        <v>328</v>
      </c>
      <c r="O8" s="126" t="s">
        <v>354</v>
      </c>
      <c r="P8" s="126" t="s">
        <v>355</v>
      </c>
      <c r="Q8" s="126" t="s">
        <v>356</v>
      </c>
      <c r="R8" s="126" t="s">
        <v>357</v>
      </c>
    </row>
    <row r="9" spans="3:18" ht="126.75" thickBot="1" x14ac:dyDescent="0.3">
      <c r="C9" s="119" t="s">
        <v>309</v>
      </c>
      <c r="D9" s="120" t="s">
        <v>310</v>
      </c>
      <c r="E9" s="120" t="s">
        <v>306</v>
      </c>
      <c r="F9" s="120">
        <v>0.15</v>
      </c>
      <c r="G9" s="120">
        <v>0.15</v>
      </c>
      <c r="H9" s="121" t="s">
        <v>308</v>
      </c>
      <c r="L9" s="125" t="s">
        <v>358</v>
      </c>
      <c r="M9" s="126" t="s">
        <v>359</v>
      </c>
      <c r="N9" s="126" t="s">
        <v>360</v>
      </c>
      <c r="O9" s="135">
        <v>11972</v>
      </c>
      <c r="P9" s="135">
        <v>11972</v>
      </c>
      <c r="Q9" s="126" t="s">
        <v>361</v>
      </c>
      <c r="R9" s="135">
        <v>33333</v>
      </c>
    </row>
    <row r="10" spans="3:18" ht="48" thickBot="1" x14ac:dyDescent="0.3">
      <c r="C10" s="119" t="s">
        <v>311</v>
      </c>
      <c r="D10" s="120" t="s">
        <v>312</v>
      </c>
      <c r="E10" s="120" t="s">
        <v>313</v>
      </c>
      <c r="F10" s="120">
        <v>1.2</v>
      </c>
      <c r="G10" s="120">
        <v>1.2</v>
      </c>
      <c r="H10" s="122"/>
      <c r="L10" s="125" t="s">
        <v>362</v>
      </c>
      <c r="M10" s="126" t="s">
        <v>363</v>
      </c>
      <c r="N10" s="126" t="s">
        <v>306</v>
      </c>
      <c r="O10" s="126">
        <v>0.9</v>
      </c>
      <c r="P10" s="126">
        <v>0.9</v>
      </c>
      <c r="Q10" s="126">
        <v>0.48</v>
      </c>
      <c r="R10" s="126">
        <v>7.0000000000000007E-2</v>
      </c>
    </row>
    <row r="11" spans="3:18" ht="95.25" thickBot="1" x14ac:dyDescent="0.3">
      <c r="C11" s="119" t="s">
        <v>314</v>
      </c>
      <c r="D11" s="120" t="s">
        <v>315</v>
      </c>
      <c r="E11" s="120" t="s">
        <v>316</v>
      </c>
      <c r="F11" s="120">
        <v>9.8000000000000007</v>
      </c>
      <c r="G11" s="120">
        <v>9.8000000000000007</v>
      </c>
      <c r="H11" s="123"/>
      <c r="L11" s="125" t="s">
        <v>364</v>
      </c>
      <c r="M11" s="126" t="s">
        <v>365</v>
      </c>
      <c r="N11" s="126" t="s">
        <v>306</v>
      </c>
      <c r="O11" s="126">
        <v>0.44</v>
      </c>
      <c r="P11" s="126">
        <v>0.55000000000000004</v>
      </c>
      <c r="Q11" s="126">
        <v>0.85</v>
      </c>
      <c r="R11" s="126">
        <v>0.6</v>
      </c>
    </row>
    <row r="12" spans="3:18" ht="111" thickBot="1" x14ac:dyDescent="0.3">
      <c r="C12" s="119" t="s">
        <v>317</v>
      </c>
      <c r="D12" s="120" t="s">
        <v>318</v>
      </c>
      <c r="E12" s="120" t="s">
        <v>316</v>
      </c>
      <c r="F12" s="120">
        <v>0.112</v>
      </c>
      <c r="G12" s="120">
        <v>0.112</v>
      </c>
      <c r="H12" s="123"/>
      <c r="L12" s="138" t="s">
        <v>193</v>
      </c>
      <c r="M12" s="139"/>
      <c r="N12" s="140"/>
      <c r="O12" s="144" t="s">
        <v>366</v>
      </c>
      <c r="P12" s="136" t="s">
        <v>307</v>
      </c>
      <c r="Q12" s="136" t="s">
        <v>307</v>
      </c>
      <c r="R12" s="136" t="s">
        <v>307</v>
      </c>
    </row>
    <row r="13" spans="3:18" ht="36.75" thickBot="1" x14ac:dyDescent="0.3">
      <c r="C13" s="119" t="s">
        <v>319</v>
      </c>
      <c r="D13" s="120" t="s">
        <v>320</v>
      </c>
      <c r="E13" s="120" t="s">
        <v>321</v>
      </c>
      <c r="F13" s="120" t="s">
        <v>322</v>
      </c>
      <c r="G13" s="120" t="s">
        <v>322</v>
      </c>
      <c r="H13" s="123"/>
      <c r="L13" s="141"/>
      <c r="M13" s="142"/>
      <c r="N13" s="143"/>
      <c r="O13" s="145"/>
      <c r="P13" s="137" t="s">
        <v>367</v>
      </c>
      <c r="Q13" s="137" t="s">
        <v>368</v>
      </c>
      <c r="R13" s="137" t="s">
        <v>369</v>
      </c>
    </row>
    <row r="14" spans="3:18" ht="79.5" thickBot="1" x14ac:dyDescent="0.3">
      <c r="C14" s="119" t="s">
        <v>323</v>
      </c>
      <c r="D14" s="120" t="s">
        <v>324</v>
      </c>
      <c r="E14" s="120" t="s">
        <v>321</v>
      </c>
      <c r="F14" s="120" t="s">
        <v>325</v>
      </c>
      <c r="G14" s="120" t="s">
        <v>325</v>
      </c>
      <c r="H14" s="123"/>
    </row>
    <row r="15" spans="3:18" ht="79.5" thickBot="1" x14ac:dyDescent="0.3">
      <c r="C15" s="119" t="s">
        <v>326</v>
      </c>
      <c r="D15" s="120" t="s">
        <v>327</v>
      </c>
      <c r="E15" s="120" t="s">
        <v>328</v>
      </c>
      <c r="F15" s="120" t="s">
        <v>329</v>
      </c>
      <c r="G15" s="120" t="s">
        <v>329</v>
      </c>
      <c r="H15" s="123"/>
    </row>
    <row r="16" spans="3:18" ht="48" thickBot="1" x14ac:dyDescent="0.3">
      <c r="C16" s="119" t="s">
        <v>330</v>
      </c>
      <c r="D16" s="120" t="s">
        <v>331</v>
      </c>
      <c r="E16" s="120" t="s">
        <v>306</v>
      </c>
      <c r="F16" s="120">
        <v>0.97</v>
      </c>
      <c r="G16" s="120">
        <v>0.97</v>
      </c>
      <c r="H16" s="123"/>
    </row>
    <row r="17" spans="3:8" ht="48" thickBot="1" x14ac:dyDescent="0.3">
      <c r="C17" s="119" t="s">
        <v>332</v>
      </c>
      <c r="D17" s="120" t="s">
        <v>333</v>
      </c>
      <c r="E17" s="120" t="s">
        <v>160</v>
      </c>
      <c r="F17" s="120" t="s">
        <v>334</v>
      </c>
      <c r="G17" s="120" t="s">
        <v>334</v>
      </c>
      <c r="H17" s="123"/>
    </row>
    <row r="18" spans="3:8" ht="48" thickBot="1" x14ac:dyDescent="0.3">
      <c r="C18" s="125" t="s">
        <v>335</v>
      </c>
      <c r="D18" s="126" t="s">
        <v>336</v>
      </c>
      <c r="E18" s="126" t="s">
        <v>306</v>
      </c>
      <c r="F18" s="126" t="s">
        <v>337</v>
      </c>
      <c r="G18" s="126" t="s">
        <v>338</v>
      </c>
      <c r="H18" s="123"/>
    </row>
    <row r="19" spans="3:8" ht="79.5" thickBot="1" x14ac:dyDescent="0.3">
      <c r="C19" s="125" t="s">
        <v>339</v>
      </c>
      <c r="D19" s="126" t="s">
        <v>340</v>
      </c>
      <c r="E19" s="126" t="s">
        <v>306</v>
      </c>
      <c r="F19" s="126" t="s">
        <v>341</v>
      </c>
      <c r="G19" s="126" t="s">
        <v>342</v>
      </c>
      <c r="H19" s="123"/>
    </row>
    <row r="20" spans="3:8" ht="63.75" thickBot="1" x14ac:dyDescent="0.3">
      <c r="C20" s="125" t="s">
        <v>343</v>
      </c>
      <c r="D20" s="126" t="s">
        <v>344</v>
      </c>
      <c r="E20" s="126" t="s">
        <v>345</v>
      </c>
      <c r="F20" s="126">
        <v>7.6</v>
      </c>
      <c r="G20" s="126">
        <v>6.7</v>
      </c>
      <c r="H20" s="124"/>
    </row>
  </sheetData>
  <mergeCells count="9">
    <mergeCell ref="L12:N13"/>
    <mergeCell ref="O12:O13"/>
    <mergeCell ref="C5:H5"/>
    <mergeCell ref="C6:D7"/>
    <mergeCell ref="E6:E7"/>
    <mergeCell ref="H6:H7"/>
    <mergeCell ref="L5:R5"/>
    <mergeCell ref="L6:M7"/>
    <mergeCell ref="N6:N7"/>
  </mergeCells>
  <pageMargins left="0.7" right="0.7" top="0.75" bottom="0.75" header="0.3" footer="0.3"/>
  <pageSetup orientation="portrait" r:id="rId1"/>
  <headerFooter>
    <oddFooter>&amp;L&amp;1#&amp;"Arial"&amp;10&amp;K000000Saudi Aramco: Public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B8DB17-2A4A-4185-A424-C25F97A21CA1}">
  <dimension ref="D2:P34"/>
  <sheetViews>
    <sheetView showGridLines="0" workbookViewId="0">
      <selection activeCell="L6" sqref="L6:P10"/>
    </sheetView>
  </sheetViews>
  <sheetFormatPr defaultRowHeight="15" x14ac:dyDescent="0.25"/>
  <cols>
    <col min="1" max="3" width="9.140625" style="23"/>
    <col min="4" max="4" width="24.28515625" style="23" bestFit="1" customWidth="1"/>
    <col min="5" max="5" width="19.28515625" style="23" customWidth="1"/>
    <col min="6" max="6" width="17.42578125" style="23" customWidth="1"/>
    <col min="7" max="7" width="9.140625" style="23"/>
    <col min="8" max="8" width="13.85546875" style="23" bestFit="1" customWidth="1"/>
    <col min="9" max="9" width="14.5703125" style="23" customWidth="1"/>
    <col min="10" max="10" width="10" style="23" bestFit="1" customWidth="1"/>
    <col min="11" max="11" width="10" style="23" customWidth="1"/>
    <col min="12" max="16384" width="9.140625" style="23"/>
  </cols>
  <sheetData>
    <row r="2" spans="4:16" x14ac:dyDescent="0.25">
      <c r="D2" s="71" t="s">
        <v>228</v>
      </c>
      <c r="E2" s="71"/>
      <c r="F2" s="71"/>
      <c r="G2" s="71"/>
      <c r="H2" s="71"/>
      <c r="I2" s="71"/>
      <c r="J2" s="71"/>
    </row>
    <row r="3" spans="4:16" x14ac:dyDescent="0.25">
      <c r="D3" s="72" t="s">
        <v>229</v>
      </c>
      <c r="E3" s="72"/>
      <c r="F3" s="72"/>
      <c r="G3" s="72" t="s">
        <v>230</v>
      </c>
      <c r="H3" s="72"/>
      <c r="I3" s="73" t="s">
        <v>231</v>
      </c>
      <c r="J3" s="73" t="s">
        <v>193</v>
      </c>
      <c r="K3" s="74"/>
    </row>
    <row r="4" spans="4:16" x14ac:dyDescent="0.25">
      <c r="D4" s="75" t="s">
        <v>232</v>
      </c>
      <c r="E4" s="76"/>
      <c r="F4" s="76"/>
      <c r="G4" s="76"/>
      <c r="H4" s="76"/>
      <c r="I4" s="76"/>
      <c r="J4" s="76"/>
    </row>
    <row r="5" spans="4:16" ht="30" x14ac:dyDescent="0.25">
      <c r="D5" s="77"/>
      <c r="E5" s="78" t="s">
        <v>233</v>
      </c>
      <c r="F5" s="78" t="s">
        <v>37</v>
      </c>
      <c r="G5" s="78">
        <v>16.100000000000001</v>
      </c>
      <c r="H5" s="78" t="s">
        <v>234</v>
      </c>
      <c r="I5" s="78" t="s">
        <v>235</v>
      </c>
      <c r="J5" s="77"/>
    </row>
    <row r="6" spans="4:16" ht="30" x14ac:dyDescent="0.25">
      <c r="D6" s="79"/>
      <c r="E6" s="80" t="s">
        <v>236</v>
      </c>
      <c r="F6" s="80" t="s">
        <v>237</v>
      </c>
      <c r="G6" s="81">
        <v>29</v>
      </c>
      <c r="H6" s="80" t="s">
        <v>234</v>
      </c>
      <c r="I6" s="80" t="s">
        <v>238</v>
      </c>
      <c r="J6" s="79"/>
    </row>
    <row r="7" spans="4:16" x14ac:dyDescent="0.25">
      <c r="D7" s="19"/>
      <c r="E7" s="20"/>
      <c r="F7" s="20"/>
      <c r="G7" s="82"/>
      <c r="H7" s="20"/>
      <c r="I7" s="20"/>
      <c r="J7" s="19"/>
    </row>
    <row r="8" spans="4:16" x14ac:dyDescent="0.25">
      <c r="D8" s="75" t="s">
        <v>239</v>
      </c>
      <c r="E8" s="83"/>
      <c r="F8" s="83"/>
      <c r="G8" s="84"/>
      <c r="H8" s="83"/>
      <c r="I8" s="83"/>
      <c r="J8" s="76"/>
      <c r="L8" s="74"/>
      <c r="M8" s="74"/>
      <c r="N8" s="85"/>
      <c r="O8" s="85"/>
      <c r="P8" s="74"/>
    </row>
    <row r="9" spans="4:16" ht="45" x14ac:dyDescent="0.25">
      <c r="D9" s="77"/>
      <c r="E9" s="78" t="s">
        <v>240</v>
      </c>
      <c r="F9" s="78" t="s">
        <v>96</v>
      </c>
      <c r="G9" s="78">
        <v>626</v>
      </c>
      <c r="H9" s="78" t="s">
        <v>241</v>
      </c>
      <c r="I9" s="77"/>
      <c r="J9" s="77"/>
      <c r="L9" s="74"/>
      <c r="M9" s="74"/>
      <c r="N9" s="85"/>
      <c r="O9" s="85"/>
      <c r="P9" s="74"/>
    </row>
    <row r="10" spans="4:16" ht="45" x14ac:dyDescent="0.25">
      <c r="D10" s="79"/>
      <c r="E10" s="80" t="s">
        <v>242</v>
      </c>
      <c r="F10" s="80" t="s">
        <v>96</v>
      </c>
      <c r="G10" s="80">
        <v>645</v>
      </c>
      <c r="H10" s="80" t="s">
        <v>241</v>
      </c>
      <c r="I10" s="80"/>
      <c r="J10" s="79"/>
    </row>
    <row r="11" spans="4:16" ht="45" x14ac:dyDescent="0.25">
      <c r="D11" s="77"/>
      <c r="E11" s="78" t="s">
        <v>243</v>
      </c>
      <c r="F11" s="78" t="s">
        <v>96</v>
      </c>
      <c r="G11" s="78">
        <v>483</v>
      </c>
      <c r="H11" s="78" t="s">
        <v>241</v>
      </c>
      <c r="I11" s="78"/>
      <c r="J11" s="77"/>
    </row>
    <row r="12" spans="4:16" x14ac:dyDescent="0.25">
      <c r="D12" s="19"/>
      <c r="E12" s="19"/>
      <c r="F12" s="19"/>
      <c r="G12" s="19"/>
      <c r="H12" s="19"/>
      <c r="I12" s="20"/>
      <c r="J12" s="19"/>
    </row>
    <row r="13" spans="4:16" x14ac:dyDescent="0.25">
      <c r="D13" s="75" t="s">
        <v>244</v>
      </c>
      <c r="E13" s="83"/>
      <c r="F13" s="83"/>
      <c r="G13" s="83"/>
      <c r="H13" s="83"/>
      <c r="I13" s="83"/>
      <c r="J13" s="76"/>
    </row>
    <row r="14" spans="4:16" ht="18" x14ac:dyDescent="0.25">
      <c r="D14" s="77"/>
      <c r="E14" s="78" t="s">
        <v>223</v>
      </c>
      <c r="F14" s="78" t="s">
        <v>100</v>
      </c>
      <c r="G14" s="78">
        <v>34.4</v>
      </c>
      <c r="H14" s="78" t="s">
        <v>245</v>
      </c>
      <c r="I14" s="78"/>
      <c r="J14" s="77"/>
    </row>
    <row r="15" spans="4:16" ht="30" x14ac:dyDescent="0.25">
      <c r="D15" s="79"/>
      <c r="E15" s="80" t="s">
        <v>246</v>
      </c>
      <c r="F15" s="80" t="s">
        <v>100</v>
      </c>
      <c r="G15" s="80">
        <v>18.100000000000001</v>
      </c>
      <c r="H15" s="80" t="s">
        <v>245</v>
      </c>
      <c r="I15" s="80"/>
      <c r="J15" s="79"/>
    </row>
    <row r="16" spans="4:16" ht="45" x14ac:dyDescent="0.25">
      <c r="D16" s="77"/>
      <c r="E16" s="78" t="s">
        <v>247</v>
      </c>
      <c r="F16" s="78" t="s">
        <v>100</v>
      </c>
      <c r="G16" s="78">
        <v>9.6</v>
      </c>
      <c r="H16" s="78" t="s">
        <v>245</v>
      </c>
      <c r="I16" s="78"/>
      <c r="J16" s="77"/>
    </row>
    <row r="17" spans="4:10" ht="75" x14ac:dyDescent="0.25">
      <c r="D17" s="79"/>
      <c r="E17" s="80" t="s">
        <v>248</v>
      </c>
      <c r="F17" s="80" t="s">
        <v>100</v>
      </c>
      <c r="G17" s="80">
        <v>36.799999999999997</v>
      </c>
      <c r="H17" s="80" t="s">
        <v>245</v>
      </c>
      <c r="I17" s="80"/>
      <c r="J17" s="79"/>
    </row>
    <row r="18" spans="4:10" ht="60" x14ac:dyDescent="0.25">
      <c r="D18" s="77"/>
      <c r="E18" s="78" t="s">
        <v>249</v>
      </c>
      <c r="F18" s="78" t="s">
        <v>100</v>
      </c>
      <c r="G18" s="78">
        <v>4.9000000000000004</v>
      </c>
      <c r="H18" s="78" t="s">
        <v>245</v>
      </c>
      <c r="I18" s="77"/>
      <c r="J18" s="77"/>
    </row>
    <row r="19" spans="4:10" ht="45" x14ac:dyDescent="0.25">
      <c r="D19" s="79"/>
      <c r="E19" s="80" t="s">
        <v>250</v>
      </c>
      <c r="F19" s="80" t="s">
        <v>100</v>
      </c>
      <c r="G19" s="80">
        <v>15.8</v>
      </c>
      <c r="H19" s="80" t="s">
        <v>245</v>
      </c>
      <c r="I19" s="79"/>
      <c r="J19" s="79"/>
    </row>
    <row r="20" spans="4:10" ht="30" x14ac:dyDescent="0.25">
      <c r="D20" s="86"/>
      <c r="E20" s="87" t="s">
        <v>251</v>
      </c>
      <c r="F20" s="87" t="s">
        <v>100</v>
      </c>
      <c r="G20" s="87">
        <v>5.5</v>
      </c>
      <c r="H20" s="87" t="s">
        <v>245</v>
      </c>
      <c r="I20" s="86" t="s">
        <v>252</v>
      </c>
      <c r="J20" s="86"/>
    </row>
    <row r="26" spans="4:10" ht="16.5" thickBot="1" x14ac:dyDescent="0.3">
      <c r="D26" s="94" t="s">
        <v>253</v>
      </c>
      <c r="E26" s="94"/>
      <c r="F26" s="94"/>
      <c r="G26" s="94"/>
      <c r="H26" s="94"/>
      <c r="I26" s="94"/>
    </row>
    <row r="27" spans="4:10" ht="32.25" thickBot="1" x14ac:dyDescent="0.3">
      <c r="D27" s="95" t="s">
        <v>193</v>
      </c>
      <c r="E27" s="88" t="s">
        <v>205</v>
      </c>
      <c r="F27" s="97" t="s">
        <v>200</v>
      </c>
      <c r="G27" s="98"/>
      <c r="H27" s="99" t="s">
        <v>194</v>
      </c>
      <c r="I27" s="95" t="s">
        <v>195</v>
      </c>
    </row>
    <row r="28" spans="4:10" ht="19.5" thickBot="1" x14ac:dyDescent="0.3">
      <c r="D28" s="96"/>
      <c r="E28" s="89" t="s">
        <v>254</v>
      </c>
      <c r="F28" s="90" t="s">
        <v>255</v>
      </c>
      <c r="G28" s="89" t="s">
        <v>206</v>
      </c>
      <c r="H28" s="100"/>
      <c r="I28" s="96"/>
    </row>
    <row r="29" spans="4:10" ht="16.5" thickBot="1" x14ac:dyDescent="0.3">
      <c r="D29" s="101" t="s">
        <v>256</v>
      </c>
      <c r="E29" s="91">
        <v>23</v>
      </c>
      <c r="F29" s="91">
        <v>26</v>
      </c>
      <c r="G29" s="103" t="s">
        <v>201</v>
      </c>
      <c r="H29" s="92" t="s">
        <v>257</v>
      </c>
      <c r="I29" s="93" t="s">
        <v>196</v>
      </c>
    </row>
    <row r="30" spans="4:10" ht="16.5" thickBot="1" x14ac:dyDescent="0.3">
      <c r="D30" s="102"/>
      <c r="E30" s="91">
        <v>61</v>
      </c>
      <c r="F30" s="91">
        <v>26</v>
      </c>
      <c r="G30" s="102"/>
      <c r="H30" s="92" t="s">
        <v>192</v>
      </c>
      <c r="I30" s="93" t="s">
        <v>196</v>
      </c>
    </row>
    <row r="31" spans="4:10" ht="48" thickBot="1" x14ac:dyDescent="0.3">
      <c r="D31" s="101" t="s">
        <v>258</v>
      </c>
      <c r="E31" s="91">
        <v>29</v>
      </c>
      <c r="F31" s="91">
        <v>13</v>
      </c>
      <c r="G31" s="104" t="s">
        <v>203</v>
      </c>
      <c r="H31" s="92" t="s">
        <v>197</v>
      </c>
      <c r="I31" s="93" t="s">
        <v>196</v>
      </c>
    </row>
    <row r="32" spans="4:10" ht="48" thickBot="1" x14ac:dyDescent="0.3">
      <c r="D32" s="102"/>
      <c r="E32" s="91">
        <v>12</v>
      </c>
      <c r="F32" s="91">
        <v>13</v>
      </c>
      <c r="G32" s="105"/>
      <c r="H32" s="92" t="s">
        <v>198</v>
      </c>
      <c r="I32" s="93" t="s">
        <v>196</v>
      </c>
    </row>
    <row r="33" spans="4:9" ht="95.25" thickBot="1" x14ac:dyDescent="0.3">
      <c r="D33" s="104" t="s">
        <v>259</v>
      </c>
      <c r="E33" s="91">
        <v>38</v>
      </c>
      <c r="F33" s="91">
        <v>0</v>
      </c>
      <c r="G33" s="101" t="s">
        <v>201</v>
      </c>
      <c r="H33" s="106" t="s">
        <v>199</v>
      </c>
      <c r="I33" s="92" t="s">
        <v>202</v>
      </c>
    </row>
    <row r="34" spans="4:9" ht="79.5" thickBot="1" x14ac:dyDescent="0.3">
      <c r="D34" s="105"/>
      <c r="E34" s="91">
        <v>3.8</v>
      </c>
      <c r="F34" s="91">
        <v>0</v>
      </c>
      <c r="G34" s="102"/>
      <c r="H34" s="105"/>
      <c r="I34" s="92" t="s">
        <v>204</v>
      </c>
    </row>
  </sheetData>
  <mergeCells count="17">
    <mergeCell ref="D31:D32"/>
    <mergeCell ref="G31:G32"/>
    <mergeCell ref="D33:D34"/>
    <mergeCell ref="G33:G34"/>
    <mergeCell ref="H33:H34"/>
    <mergeCell ref="D27:D28"/>
    <mergeCell ref="F27:G27"/>
    <mergeCell ref="H27:H28"/>
    <mergeCell ref="I27:I28"/>
    <mergeCell ref="D29:D30"/>
    <mergeCell ref="G29:G30"/>
    <mergeCell ref="D2:J2"/>
    <mergeCell ref="D3:F3"/>
    <mergeCell ref="G3:H3"/>
    <mergeCell ref="N8:O8"/>
    <mergeCell ref="N9:O9"/>
    <mergeCell ref="D26:I26"/>
  </mergeCells>
  <pageMargins left="0.7" right="0.7" top="0.75" bottom="0.75" header="0.3" footer="0.3"/>
  <pageSetup orientation="portrait" r:id="rId1"/>
  <headerFooter>
    <oddFooter>&amp;L&amp;1#&amp;"Arial"&amp;10&amp;K000000Saudi Aramco: Public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3"/>
  <sheetViews>
    <sheetView zoomScale="130" zoomScaleNormal="130" workbookViewId="0">
      <selection activeCell="E22" sqref="E22"/>
    </sheetView>
  </sheetViews>
  <sheetFormatPr defaultRowHeight="15" x14ac:dyDescent="0.25"/>
  <cols>
    <col min="1" max="1" width="32.28515625" bestFit="1" customWidth="1"/>
    <col min="2" max="2" width="31" bestFit="1" customWidth="1"/>
    <col min="3" max="3" width="17.85546875" bestFit="1" customWidth="1"/>
    <col min="4" max="4" width="15.140625" bestFit="1" customWidth="1"/>
    <col min="5" max="5" width="22.5703125" bestFit="1" customWidth="1"/>
    <col min="6" max="6" width="4.85546875" bestFit="1" customWidth="1"/>
    <col min="7" max="7" width="13.140625" bestFit="1" customWidth="1"/>
  </cols>
  <sheetData>
    <row r="1" spans="1:10" x14ac:dyDescent="0.25">
      <c r="A1" t="s">
        <v>7</v>
      </c>
      <c r="B1" t="s">
        <v>4</v>
      </c>
      <c r="C1" t="s">
        <v>10</v>
      </c>
      <c r="D1" t="s">
        <v>2</v>
      </c>
      <c r="E1" t="s">
        <v>3</v>
      </c>
      <c r="F1" t="s">
        <v>26</v>
      </c>
      <c r="G1" t="s">
        <v>5</v>
      </c>
      <c r="H1" t="s">
        <v>6</v>
      </c>
      <c r="I1" t="s">
        <v>9</v>
      </c>
    </row>
    <row r="2" spans="1:10" x14ac:dyDescent="0.25">
      <c r="A2" t="s">
        <v>0</v>
      </c>
      <c r="B2">
        <v>51</v>
      </c>
      <c r="D2">
        <v>189.3</v>
      </c>
      <c r="E2">
        <v>3.7</v>
      </c>
      <c r="F2">
        <v>829</v>
      </c>
      <c r="G2">
        <f>SUM(D2:F2)</f>
        <v>1022</v>
      </c>
      <c r="H2">
        <f>B2+G2</f>
        <v>1073</v>
      </c>
      <c r="I2">
        <v>85</v>
      </c>
      <c r="J2">
        <f>1.96*I2</f>
        <v>166.6</v>
      </c>
    </row>
    <row r="3" spans="1:10" x14ac:dyDescent="0.25">
      <c r="A3" t="s">
        <v>30</v>
      </c>
      <c r="B3">
        <v>51</v>
      </c>
      <c r="D3" s="25">
        <v>-523.51417505480754</v>
      </c>
      <c r="F3">
        <v>853</v>
      </c>
      <c r="G3">
        <f>SUM(D3:F3)</f>
        <v>329.48582494519246</v>
      </c>
      <c r="H3">
        <f>B3+G3</f>
        <v>380.48582494519246</v>
      </c>
      <c r="I3">
        <v>32.5</v>
      </c>
      <c r="J3">
        <f>1.96*I3</f>
        <v>63.699999999999996</v>
      </c>
    </row>
    <row r="4" spans="1:10" x14ac:dyDescent="0.25">
      <c r="A4" t="s">
        <v>12</v>
      </c>
      <c r="B4">
        <v>48</v>
      </c>
      <c r="C4">
        <v>240</v>
      </c>
      <c r="D4">
        <v>1269</v>
      </c>
      <c r="F4">
        <v>0</v>
      </c>
      <c r="G4">
        <f>SUM(D4:F4)</f>
        <v>1269</v>
      </c>
      <c r="H4">
        <f>SUM(B4:F4)</f>
        <v>1557</v>
      </c>
      <c r="I4">
        <v>186</v>
      </c>
      <c r="J4">
        <f>1.96*I4</f>
        <v>364.56</v>
      </c>
    </row>
    <row r="5" spans="1:10" x14ac:dyDescent="0.25">
      <c r="A5" t="s">
        <v>13</v>
      </c>
      <c r="B5">
        <v>48</v>
      </c>
      <c r="C5">
        <v>472</v>
      </c>
      <c r="D5">
        <v>1275</v>
      </c>
      <c r="F5">
        <v>0</v>
      </c>
      <c r="G5">
        <f>D5</f>
        <v>1275</v>
      </c>
      <c r="H5">
        <f>SUM(B5:F5)</f>
        <v>1795</v>
      </c>
      <c r="I5">
        <v>217</v>
      </c>
      <c r="J5">
        <f>1.96*I5</f>
        <v>425.32</v>
      </c>
    </row>
    <row r="6" spans="1:10" x14ac:dyDescent="0.25">
      <c r="A6" t="s">
        <v>14</v>
      </c>
      <c r="B6">
        <v>48</v>
      </c>
      <c r="C6">
        <v>708</v>
      </c>
      <c r="D6">
        <v>1275</v>
      </c>
      <c r="F6">
        <v>0</v>
      </c>
      <c r="G6">
        <f>D6</f>
        <v>1275</v>
      </c>
      <c r="H6">
        <f>SUM(B6:F6)</f>
        <v>2031</v>
      </c>
      <c r="I6">
        <v>245</v>
      </c>
      <c r="J6">
        <f>1.96*I6</f>
        <v>480.2</v>
      </c>
    </row>
    <row r="7" spans="1:10" x14ac:dyDescent="0.25">
      <c r="A7" t="s">
        <v>1</v>
      </c>
      <c r="B7">
        <v>82.4</v>
      </c>
      <c r="D7">
        <v>2024</v>
      </c>
      <c r="E7">
        <v>440</v>
      </c>
      <c r="F7">
        <v>0</v>
      </c>
      <c r="G7">
        <f t="shared" ref="G7:G12" si="0">D7+E7</f>
        <v>2464</v>
      </c>
      <c r="H7">
        <f t="shared" ref="H7:H13" si="1">SUM(B7:E7)</f>
        <v>2546.4</v>
      </c>
      <c r="I7">
        <v>326</v>
      </c>
      <c r="J7">
        <f t="shared" ref="J7:J13" si="2">1.96*I7</f>
        <v>638.96</v>
      </c>
    </row>
    <row r="8" spans="1:10" x14ac:dyDescent="0.25">
      <c r="A8" t="s">
        <v>15</v>
      </c>
      <c r="B8">
        <v>82.4</v>
      </c>
      <c r="D8">
        <v>2676</v>
      </c>
      <c r="E8">
        <v>440</v>
      </c>
      <c r="F8">
        <v>0</v>
      </c>
      <c r="G8">
        <f t="shared" si="0"/>
        <v>3116</v>
      </c>
      <c r="H8">
        <f t="shared" si="1"/>
        <v>3198.4</v>
      </c>
      <c r="I8">
        <v>372</v>
      </c>
      <c r="J8">
        <f t="shared" si="2"/>
        <v>729.12</v>
      </c>
    </row>
    <row r="9" spans="1:10" x14ac:dyDescent="0.25">
      <c r="A9" t="s">
        <v>16</v>
      </c>
      <c r="B9">
        <v>82.4</v>
      </c>
      <c r="D9">
        <v>3774</v>
      </c>
      <c r="E9">
        <v>440</v>
      </c>
      <c r="F9">
        <v>0</v>
      </c>
      <c r="G9">
        <f t="shared" si="0"/>
        <v>4214</v>
      </c>
      <c r="H9">
        <f t="shared" si="1"/>
        <v>4296.3999999999996</v>
      </c>
      <c r="I9">
        <v>503.3</v>
      </c>
      <c r="J9">
        <f t="shared" si="2"/>
        <v>986.46799999999996</v>
      </c>
    </row>
    <row r="10" spans="1:10" s="2" customFormat="1" x14ac:dyDescent="0.25">
      <c r="A10" s="2" t="s">
        <v>17</v>
      </c>
      <c r="B10" s="2">
        <v>82.4</v>
      </c>
      <c r="D10" s="2">
        <v>1229.4000000000001</v>
      </c>
      <c r="E10" s="2">
        <v>440</v>
      </c>
      <c r="F10" s="2">
        <v>0</v>
      </c>
      <c r="G10" s="2">
        <f t="shared" si="0"/>
        <v>1669.4</v>
      </c>
      <c r="H10" s="2">
        <f t="shared" si="1"/>
        <v>1751.8000000000002</v>
      </c>
      <c r="I10" s="2">
        <v>198</v>
      </c>
      <c r="J10" s="2">
        <f>1.96*I10</f>
        <v>388.08</v>
      </c>
    </row>
    <row r="11" spans="1:10" s="2" customFormat="1" x14ac:dyDescent="0.25">
      <c r="A11" s="2" t="s">
        <v>18</v>
      </c>
      <c r="B11" s="2">
        <v>82.4</v>
      </c>
      <c r="D11" s="2">
        <v>1093</v>
      </c>
      <c r="E11" s="2">
        <v>440</v>
      </c>
      <c r="F11" s="2">
        <v>0</v>
      </c>
      <c r="G11" s="2">
        <f t="shared" si="0"/>
        <v>1533</v>
      </c>
      <c r="H11" s="2">
        <f t="shared" si="1"/>
        <v>1615.4</v>
      </c>
      <c r="I11" s="2">
        <v>183</v>
      </c>
      <c r="J11" s="2">
        <f t="shared" si="2"/>
        <v>358.68</v>
      </c>
    </row>
    <row r="12" spans="1:10" s="2" customFormat="1" x14ac:dyDescent="0.25">
      <c r="A12" s="2" t="s">
        <v>19</v>
      </c>
      <c r="B12" s="2">
        <v>82.4</v>
      </c>
      <c r="D12" s="2">
        <v>108.1</v>
      </c>
      <c r="E12" s="2">
        <v>440</v>
      </c>
      <c r="F12" s="2">
        <v>0</v>
      </c>
      <c r="G12" s="2">
        <f t="shared" si="0"/>
        <v>548.1</v>
      </c>
      <c r="H12" s="2">
        <f t="shared" si="1"/>
        <v>630.5</v>
      </c>
      <c r="I12" s="2">
        <v>65.5</v>
      </c>
      <c r="J12" s="2">
        <f t="shared" si="2"/>
        <v>128.38</v>
      </c>
    </row>
    <row r="13" spans="1:10" x14ac:dyDescent="0.25">
      <c r="A13" t="s">
        <v>25</v>
      </c>
      <c r="B13">
        <v>82.4</v>
      </c>
      <c r="D13">
        <v>474.3</v>
      </c>
      <c r="E13">
        <v>440</v>
      </c>
      <c r="F13">
        <v>0</v>
      </c>
      <c r="G13">
        <f>SUM(D13:F13)</f>
        <v>914.3</v>
      </c>
      <c r="H13" s="2">
        <f t="shared" si="1"/>
        <v>996.7</v>
      </c>
      <c r="I13">
        <v>108.25</v>
      </c>
      <c r="J13">
        <f t="shared" si="2"/>
        <v>212.17</v>
      </c>
    </row>
  </sheetData>
  <pageMargins left="0.7" right="0.7" top="0.75" bottom="0.75" header="0.3" footer="0.3"/>
  <pageSetup orientation="portrait" r:id="rId1"/>
  <headerFooter>
    <oddFooter>&amp;L&amp;1#&amp;"Arial"&amp;10&amp;K000000Saudi Aramco: Public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1"/>
  <sheetViews>
    <sheetView workbookViewId="0">
      <selection activeCell="B14" sqref="B14"/>
    </sheetView>
  </sheetViews>
  <sheetFormatPr defaultRowHeight="15" x14ac:dyDescent="0.25"/>
  <cols>
    <col min="1" max="1" width="32.28515625" bestFit="1" customWidth="1"/>
    <col min="2" max="2" width="31" bestFit="1" customWidth="1"/>
    <col min="3" max="3" width="17.85546875" bestFit="1" customWidth="1"/>
    <col min="4" max="4" width="15.140625" bestFit="1" customWidth="1"/>
    <col min="5" max="5" width="22.5703125" bestFit="1" customWidth="1"/>
  </cols>
  <sheetData>
    <row r="1" spans="1:12" x14ac:dyDescent="0.25">
      <c r="A1" t="s">
        <v>8</v>
      </c>
      <c r="B1" t="s">
        <v>4</v>
      </c>
      <c r="C1" t="s">
        <v>10</v>
      </c>
      <c r="D1" t="s">
        <v>2</v>
      </c>
      <c r="E1" t="s">
        <v>3</v>
      </c>
      <c r="F1" t="s">
        <v>26</v>
      </c>
      <c r="G1" t="s">
        <v>5</v>
      </c>
      <c r="H1" t="s">
        <v>6</v>
      </c>
      <c r="I1" t="s">
        <v>9</v>
      </c>
    </row>
    <row r="2" spans="1:12" x14ac:dyDescent="0.25">
      <c r="A2" t="s">
        <v>0</v>
      </c>
      <c r="B2">
        <v>3</v>
      </c>
      <c r="D2">
        <v>11.77</v>
      </c>
      <c r="E2">
        <v>0.23</v>
      </c>
      <c r="F2" s="13">
        <v>50.5</v>
      </c>
      <c r="G2">
        <f>SUM(D2:F2)</f>
        <v>62.5</v>
      </c>
      <c r="H2" s="8">
        <f>G2+B2</f>
        <v>65.5</v>
      </c>
      <c r="I2">
        <v>7.7</v>
      </c>
      <c r="J2">
        <f>1.96*I2</f>
        <v>15.092000000000001</v>
      </c>
      <c r="L2" s="7"/>
    </row>
    <row r="3" spans="1:12" x14ac:dyDescent="0.25">
      <c r="A3" t="s">
        <v>30</v>
      </c>
      <c r="B3">
        <v>3</v>
      </c>
      <c r="D3" s="7">
        <v>-31.929770000000001</v>
      </c>
      <c r="F3" s="13">
        <v>52.032719999999998</v>
      </c>
      <c r="G3">
        <f>SUM(D3:F3)</f>
        <v>20.102949999999996</v>
      </c>
      <c r="H3">
        <f>G3+B3</f>
        <v>23.102949999999996</v>
      </c>
      <c r="I3">
        <v>3.22</v>
      </c>
      <c r="J3">
        <f>1.96*I3</f>
        <v>6.3112000000000004</v>
      </c>
      <c r="L3" s="7"/>
    </row>
    <row r="4" spans="1:12" x14ac:dyDescent="0.25">
      <c r="A4" t="s">
        <v>11</v>
      </c>
      <c r="B4">
        <v>4.0999999999999996</v>
      </c>
      <c r="C4">
        <v>20.5</v>
      </c>
      <c r="D4">
        <v>112.7</v>
      </c>
      <c r="F4">
        <v>0</v>
      </c>
      <c r="G4">
        <f>SUM(D4:F4)</f>
        <v>112.7</v>
      </c>
      <c r="H4">
        <f>SUM(B4:F4)</f>
        <v>137.30000000000001</v>
      </c>
      <c r="I4">
        <v>32</v>
      </c>
      <c r="J4">
        <f t="shared" ref="J4:J10" si="0">1.96*I4</f>
        <v>62.72</v>
      </c>
      <c r="L4" s="7"/>
    </row>
    <row r="5" spans="1:12" x14ac:dyDescent="0.25">
      <c r="A5" t="s">
        <v>1</v>
      </c>
      <c r="B5">
        <v>5.0999999999999996</v>
      </c>
      <c r="D5">
        <v>121</v>
      </c>
      <c r="E5">
        <v>27.2</v>
      </c>
      <c r="F5">
        <v>0</v>
      </c>
      <c r="G5">
        <f t="shared" ref="G5:G11" si="1">D5+E5</f>
        <v>148.19999999999999</v>
      </c>
      <c r="H5">
        <f>SUM(B5:E5)</f>
        <v>153.29999999999998</v>
      </c>
      <c r="I5">
        <v>24</v>
      </c>
      <c r="J5">
        <f t="shared" si="0"/>
        <v>47.04</v>
      </c>
      <c r="L5" s="7"/>
    </row>
    <row r="6" spans="1:12" x14ac:dyDescent="0.25">
      <c r="A6" t="s">
        <v>15</v>
      </c>
      <c r="B6">
        <v>5.0999999999999996</v>
      </c>
      <c r="D6">
        <v>161.1</v>
      </c>
      <c r="E6">
        <v>27.2</v>
      </c>
      <c r="F6">
        <v>0</v>
      </c>
      <c r="G6">
        <f t="shared" si="1"/>
        <v>188.29999999999998</v>
      </c>
      <c r="H6">
        <f t="shared" ref="H6:H11" si="2">SUM(B6:E6)</f>
        <v>193.39999999999998</v>
      </c>
      <c r="I6">
        <v>26.8</v>
      </c>
      <c r="J6">
        <f t="shared" si="0"/>
        <v>52.527999999999999</v>
      </c>
      <c r="L6" s="7"/>
    </row>
    <row r="7" spans="1:12" x14ac:dyDescent="0.25">
      <c r="A7" t="s">
        <v>16</v>
      </c>
      <c r="B7">
        <v>5.0999999999999996</v>
      </c>
      <c r="D7">
        <v>226.8</v>
      </c>
      <c r="E7">
        <v>27.2</v>
      </c>
      <c r="F7">
        <v>0</v>
      </c>
      <c r="G7">
        <f t="shared" si="1"/>
        <v>254</v>
      </c>
      <c r="H7">
        <f t="shared" si="2"/>
        <v>259.10000000000002</v>
      </c>
      <c r="I7">
        <v>35.869999999999997</v>
      </c>
      <c r="J7">
        <f t="shared" si="0"/>
        <v>70.305199999999999</v>
      </c>
      <c r="L7" s="7"/>
    </row>
    <row r="8" spans="1:12" x14ac:dyDescent="0.25">
      <c r="A8" t="s">
        <v>17</v>
      </c>
      <c r="B8">
        <v>5.0999999999999996</v>
      </c>
      <c r="D8">
        <v>73.2</v>
      </c>
      <c r="E8">
        <v>27.2</v>
      </c>
      <c r="F8">
        <v>0</v>
      </c>
      <c r="G8">
        <f t="shared" si="1"/>
        <v>100.4</v>
      </c>
      <c r="H8">
        <f t="shared" si="2"/>
        <v>105.5</v>
      </c>
      <c r="I8">
        <v>14.52</v>
      </c>
      <c r="J8">
        <f t="shared" si="0"/>
        <v>28.459199999999999</v>
      </c>
      <c r="L8" s="7"/>
    </row>
    <row r="9" spans="1:12" x14ac:dyDescent="0.25">
      <c r="A9" t="s">
        <v>18</v>
      </c>
      <c r="B9">
        <v>5.0999999999999996</v>
      </c>
      <c r="D9">
        <v>65</v>
      </c>
      <c r="E9">
        <v>27.2</v>
      </c>
      <c r="F9">
        <v>0</v>
      </c>
      <c r="G9">
        <f t="shared" si="1"/>
        <v>92.2</v>
      </c>
      <c r="H9">
        <f t="shared" si="2"/>
        <v>97.3</v>
      </c>
      <c r="I9">
        <v>13.3</v>
      </c>
      <c r="J9">
        <f t="shared" si="0"/>
        <v>26.068000000000001</v>
      </c>
      <c r="L9" s="7"/>
    </row>
    <row r="10" spans="1:12" x14ac:dyDescent="0.25">
      <c r="A10" t="s">
        <v>19</v>
      </c>
      <c r="B10">
        <v>5.0999999999999996</v>
      </c>
      <c r="D10">
        <v>5.7</v>
      </c>
      <c r="E10">
        <v>27.2</v>
      </c>
      <c r="F10">
        <v>0</v>
      </c>
      <c r="G10">
        <f t="shared" si="1"/>
        <v>32.9</v>
      </c>
      <c r="H10">
        <f t="shared" si="2"/>
        <v>38</v>
      </c>
      <c r="I10">
        <v>5.05</v>
      </c>
      <c r="J10">
        <f t="shared" si="0"/>
        <v>9.8979999999999997</v>
      </c>
      <c r="L10" s="7"/>
    </row>
    <row r="11" spans="1:12" x14ac:dyDescent="0.25">
      <c r="A11" t="s">
        <v>25</v>
      </c>
      <c r="B11">
        <v>5.0999999999999996</v>
      </c>
      <c r="D11">
        <v>27.8</v>
      </c>
      <c r="E11">
        <v>27.2</v>
      </c>
      <c r="F11">
        <v>0</v>
      </c>
      <c r="G11">
        <f t="shared" si="1"/>
        <v>55</v>
      </c>
      <c r="H11">
        <f t="shared" si="2"/>
        <v>60.099999999999994</v>
      </c>
      <c r="I11">
        <v>8.06</v>
      </c>
      <c r="J11">
        <f>1.96*I11</f>
        <v>15.797600000000001</v>
      </c>
      <c r="L11" s="7"/>
    </row>
    <row r="21" spans="5:5" x14ac:dyDescent="0.25">
      <c r="E21" t="s">
        <v>27</v>
      </c>
    </row>
  </sheetData>
  <pageMargins left="0.7" right="0.7" top="0.75" bottom="0.75" header="0.3" footer="0.3"/>
  <pageSetup orientation="portrait" r:id="rId1"/>
  <headerFooter>
    <oddFooter>&amp;L&amp;1#&amp;"Arial"&amp;10&amp;K000000Saudi Aramco: Public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6"/>
  <sheetViews>
    <sheetView workbookViewId="0">
      <selection activeCell="I23" sqref="I23"/>
    </sheetView>
  </sheetViews>
  <sheetFormatPr defaultRowHeight="15" x14ac:dyDescent="0.25"/>
  <cols>
    <col min="1" max="1" width="32.28515625" bestFit="1" customWidth="1"/>
    <col min="2" max="2" width="31" bestFit="1" customWidth="1"/>
    <col min="3" max="3" width="17.85546875" bestFit="1" customWidth="1"/>
    <col min="4" max="4" width="15.140625" bestFit="1" customWidth="1"/>
    <col min="5" max="5" width="22.5703125" bestFit="1" customWidth="1"/>
    <col min="6" max="6" width="7.42578125" customWidth="1"/>
  </cols>
  <sheetData>
    <row r="1" spans="1:12" x14ac:dyDescent="0.25">
      <c r="A1" t="s">
        <v>7</v>
      </c>
      <c r="B1" t="s">
        <v>4</v>
      </c>
      <c r="C1" t="s">
        <v>10</v>
      </c>
      <c r="D1" t="s">
        <v>2</v>
      </c>
      <c r="E1" t="s">
        <v>3</v>
      </c>
      <c r="F1" t="s">
        <v>26</v>
      </c>
      <c r="G1" t="s">
        <v>5</v>
      </c>
      <c r="H1" t="s">
        <v>6</v>
      </c>
      <c r="I1" t="s">
        <v>9</v>
      </c>
    </row>
    <row r="2" spans="1:12" x14ac:dyDescent="0.25">
      <c r="A2" t="s">
        <v>0</v>
      </c>
      <c r="B2">
        <v>43</v>
      </c>
      <c r="D2">
        <v>119.67</v>
      </c>
      <c r="E2">
        <v>2.33</v>
      </c>
      <c r="F2" s="25">
        <v>548.46786045877309</v>
      </c>
      <c r="G2" s="25">
        <f t="shared" ref="G2:G16" si="0">SUM(D2:F2)</f>
        <v>670.46786045877309</v>
      </c>
      <c r="H2" s="25">
        <f>SUM(B2:F2)</f>
        <v>713.46786045877309</v>
      </c>
      <c r="I2">
        <v>67.5</v>
      </c>
      <c r="J2">
        <f>1.96*I2</f>
        <v>132.30000000000001</v>
      </c>
      <c r="L2">
        <f>H2/'Distance &amp; Payload'!P7</f>
        <v>39.858539690434256</v>
      </c>
    </row>
    <row r="3" spans="1:12" x14ac:dyDescent="0.25">
      <c r="A3" t="s">
        <v>30</v>
      </c>
      <c r="B3">
        <v>43</v>
      </c>
      <c r="D3">
        <v>-335</v>
      </c>
      <c r="F3" s="25">
        <v>538.47333071076434</v>
      </c>
      <c r="G3" s="25">
        <f t="shared" si="0"/>
        <v>203.47333071076434</v>
      </c>
      <c r="H3" s="25">
        <f>SUM(B3:F3)</f>
        <v>246.47333071076434</v>
      </c>
      <c r="I3">
        <v>25.8</v>
      </c>
      <c r="J3">
        <f>1.96*I3</f>
        <v>50.567999999999998</v>
      </c>
      <c r="L3">
        <f>H3/18</f>
        <v>13.692962817264686</v>
      </c>
    </row>
    <row r="4" spans="1:12" x14ac:dyDescent="0.25">
      <c r="A4" t="s">
        <v>12</v>
      </c>
      <c r="B4">
        <v>40</v>
      </c>
      <c r="C4">
        <v>157</v>
      </c>
      <c r="D4">
        <v>673</v>
      </c>
      <c r="F4">
        <v>0</v>
      </c>
      <c r="G4">
        <f t="shared" si="0"/>
        <v>673</v>
      </c>
      <c r="H4">
        <f>SUM(B4:F4)</f>
        <v>870</v>
      </c>
      <c r="I4">
        <v>89</v>
      </c>
      <c r="J4">
        <f t="shared" ref="J4:J16" si="1">1.96*I4</f>
        <v>174.44</v>
      </c>
    </row>
    <row r="5" spans="1:12" x14ac:dyDescent="0.25">
      <c r="A5" t="s">
        <v>13</v>
      </c>
      <c r="B5">
        <v>40</v>
      </c>
      <c r="C5">
        <v>315</v>
      </c>
      <c r="D5">
        <v>673</v>
      </c>
      <c r="F5">
        <v>0</v>
      </c>
      <c r="G5">
        <f t="shared" si="0"/>
        <v>673</v>
      </c>
      <c r="H5">
        <f>SUM(B5:F5)</f>
        <v>1028</v>
      </c>
      <c r="I5">
        <v>107</v>
      </c>
      <c r="J5">
        <f t="shared" si="1"/>
        <v>209.72</v>
      </c>
    </row>
    <row r="6" spans="1:12" x14ac:dyDescent="0.25">
      <c r="A6" t="s">
        <v>14</v>
      </c>
      <c r="B6">
        <v>40</v>
      </c>
      <c r="C6">
        <v>473</v>
      </c>
      <c r="D6">
        <v>674</v>
      </c>
      <c r="F6">
        <v>0</v>
      </c>
      <c r="G6">
        <f t="shared" si="0"/>
        <v>674</v>
      </c>
      <c r="H6">
        <f>SUM(B6:F6)</f>
        <v>1187</v>
      </c>
      <c r="I6">
        <v>121</v>
      </c>
      <c r="J6">
        <f t="shared" si="1"/>
        <v>237.16</v>
      </c>
    </row>
    <row r="7" spans="1:12" x14ac:dyDescent="0.25">
      <c r="A7" t="s">
        <v>21</v>
      </c>
      <c r="B7">
        <v>66.5</v>
      </c>
      <c r="D7">
        <v>1056</v>
      </c>
      <c r="E7">
        <v>209</v>
      </c>
      <c r="F7">
        <v>0</v>
      </c>
      <c r="G7">
        <f t="shared" si="0"/>
        <v>1265</v>
      </c>
      <c r="H7">
        <f t="shared" ref="H7:H15" si="2">SUM(B7:F7)</f>
        <v>1331.5</v>
      </c>
      <c r="I7">
        <v>133.19999999999999</v>
      </c>
      <c r="J7">
        <f t="shared" si="1"/>
        <v>261.07199999999995</v>
      </c>
    </row>
    <row r="8" spans="1:12" x14ac:dyDescent="0.25">
      <c r="A8" t="s">
        <v>22</v>
      </c>
      <c r="B8">
        <v>66.5</v>
      </c>
      <c r="D8">
        <v>841</v>
      </c>
      <c r="E8">
        <v>209</v>
      </c>
      <c r="F8">
        <v>0</v>
      </c>
      <c r="G8">
        <f t="shared" si="0"/>
        <v>1050</v>
      </c>
      <c r="H8">
        <f>SUM(B8:F8)</f>
        <v>1116.5</v>
      </c>
      <c r="I8">
        <v>114.6</v>
      </c>
      <c r="J8">
        <f t="shared" si="1"/>
        <v>224.61599999999999</v>
      </c>
    </row>
    <row r="9" spans="1:12" x14ac:dyDescent="0.25">
      <c r="A9" t="s">
        <v>23</v>
      </c>
      <c r="B9">
        <v>66.5</v>
      </c>
      <c r="D9">
        <v>379</v>
      </c>
      <c r="E9">
        <v>209</v>
      </c>
      <c r="F9">
        <v>0</v>
      </c>
      <c r="G9">
        <f t="shared" si="0"/>
        <v>588</v>
      </c>
      <c r="H9">
        <f t="shared" si="2"/>
        <v>654.5</v>
      </c>
      <c r="I9">
        <v>78.8</v>
      </c>
      <c r="J9">
        <f t="shared" si="1"/>
        <v>154.44799999999998</v>
      </c>
    </row>
    <row r="10" spans="1:12" x14ac:dyDescent="0.25">
      <c r="A10" t="s">
        <v>15</v>
      </c>
      <c r="B10">
        <v>66.5</v>
      </c>
      <c r="D10">
        <v>1481</v>
      </c>
      <c r="E10">
        <v>209</v>
      </c>
      <c r="F10">
        <v>0</v>
      </c>
      <c r="G10">
        <f t="shared" si="0"/>
        <v>1690</v>
      </c>
      <c r="H10">
        <f t="shared" si="2"/>
        <v>1756.5</v>
      </c>
      <c r="I10">
        <v>162</v>
      </c>
      <c r="J10">
        <f t="shared" si="1"/>
        <v>317.52</v>
      </c>
    </row>
    <row r="11" spans="1:12" x14ac:dyDescent="0.25">
      <c r="A11" t="s">
        <v>16</v>
      </c>
      <c r="B11">
        <v>66.5</v>
      </c>
      <c r="D11">
        <v>1553</v>
      </c>
      <c r="E11">
        <v>209</v>
      </c>
      <c r="F11">
        <v>0</v>
      </c>
      <c r="G11">
        <f t="shared" si="0"/>
        <v>1762</v>
      </c>
      <c r="H11">
        <f t="shared" si="2"/>
        <v>1828.5</v>
      </c>
      <c r="I11">
        <v>169.86</v>
      </c>
      <c r="J11">
        <f t="shared" si="1"/>
        <v>332.92560000000003</v>
      </c>
    </row>
    <row r="12" spans="1:12" x14ac:dyDescent="0.25">
      <c r="A12" t="s">
        <v>17</v>
      </c>
      <c r="B12">
        <v>66.5</v>
      </c>
      <c r="D12">
        <v>681</v>
      </c>
      <c r="E12">
        <v>209</v>
      </c>
      <c r="F12">
        <v>0</v>
      </c>
      <c r="G12">
        <f t="shared" si="0"/>
        <v>890</v>
      </c>
      <c r="H12">
        <f t="shared" si="2"/>
        <v>956.5</v>
      </c>
      <c r="I12">
        <v>85.7</v>
      </c>
      <c r="J12">
        <f t="shared" si="1"/>
        <v>167.97200000000001</v>
      </c>
    </row>
    <row r="13" spans="1:12" x14ac:dyDescent="0.25">
      <c r="A13" t="s">
        <v>18</v>
      </c>
      <c r="B13">
        <v>66.5</v>
      </c>
      <c r="D13">
        <v>592.1</v>
      </c>
      <c r="E13">
        <v>209</v>
      </c>
      <c r="F13">
        <v>0</v>
      </c>
      <c r="G13">
        <f t="shared" si="0"/>
        <v>801.1</v>
      </c>
      <c r="H13">
        <f t="shared" si="2"/>
        <v>867.6</v>
      </c>
      <c r="I13">
        <v>77.069999999999993</v>
      </c>
      <c r="J13">
        <f t="shared" si="1"/>
        <v>151.05719999999999</v>
      </c>
    </row>
    <row r="14" spans="1:12" s="2" customFormat="1" x14ac:dyDescent="0.25">
      <c r="A14" s="2" t="s">
        <v>19</v>
      </c>
      <c r="B14" s="2">
        <v>66.5</v>
      </c>
      <c r="D14" s="2">
        <v>59.4</v>
      </c>
      <c r="E14" s="2">
        <v>209</v>
      </c>
      <c r="F14" s="2">
        <v>0</v>
      </c>
      <c r="G14" s="2">
        <f t="shared" si="0"/>
        <v>268.39999999999998</v>
      </c>
      <c r="H14" s="2">
        <f t="shared" si="2"/>
        <v>334.9</v>
      </c>
      <c r="I14" s="2">
        <v>25.87</v>
      </c>
      <c r="J14" s="2">
        <f t="shared" si="1"/>
        <v>50.705199999999998</v>
      </c>
    </row>
    <row r="15" spans="1:12" s="2" customFormat="1" x14ac:dyDescent="0.25">
      <c r="A15" s="2" t="s">
        <v>25</v>
      </c>
      <c r="B15" s="2">
        <v>66.5</v>
      </c>
      <c r="D15" s="2">
        <v>263</v>
      </c>
      <c r="E15" s="2">
        <v>209</v>
      </c>
      <c r="F15" s="2">
        <v>0</v>
      </c>
      <c r="G15" s="2">
        <f t="shared" si="0"/>
        <v>472</v>
      </c>
      <c r="H15" s="2">
        <f t="shared" si="2"/>
        <v>538.5</v>
      </c>
      <c r="I15" s="2">
        <v>45.29</v>
      </c>
      <c r="J15" s="2">
        <f t="shared" si="1"/>
        <v>88.7684</v>
      </c>
    </row>
    <row r="16" spans="1:12" s="2" customFormat="1" x14ac:dyDescent="0.25">
      <c r="A16" s="2" t="s">
        <v>20</v>
      </c>
      <c r="B16" s="2">
        <v>66.5</v>
      </c>
      <c r="D16" s="2">
        <v>28.27</v>
      </c>
      <c r="E16" s="2">
        <v>110.73</v>
      </c>
      <c r="F16" s="2">
        <v>0</v>
      </c>
      <c r="G16" s="2">
        <f t="shared" si="0"/>
        <v>139</v>
      </c>
      <c r="H16" s="2">
        <f>SUM(B16:F16)</f>
        <v>205.5</v>
      </c>
      <c r="I16" s="2">
        <v>13.41</v>
      </c>
      <c r="J16" s="2">
        <f t="shared" si="1"/>
        <v>26.2836</v>
      </c>
    </row>
  </sheetData>
  <pageMargins left="0.7" right="0.7" top="0.75" bottom="0.75" header="0.3" footer="0.3"/>
  <pageSetup orientation="portrait" r:id="rId1"/>
  <headerFooter>
    <oddFooter>&amp;L&amp;1#&amp;"Arial"&amp;10&amp;K000000Saudi Aramco: Public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18"/>
  <sheetViews>
    <sheetView zoomScaleNormal="100" workbookViewId="0">
      <selection activeCell="H4" sqref="H4"/>
    </sheetView>
  </sheetViews>
  <sheetFormatPr defaultRowHeight="15" x14ac:dyDescent="0.25"/>
  <cols>
    <col min="1" max="1" width="32.28515625" bestFit="1" customWidth="1"/>
    <col min="2" max="2" width="26.5703125" bestFit="1" customWidth="1"/>
    <col min="3" max="3" width="17.85546875" bestFit="1" customWidth="1"/>
    <col min="4" max="4" width="17.42578125" bestFit="1" customWidth="1"/>
    <col min="5" max="5" width="23.42578125" bestFit="1" customWidth="1"/>
    <col min="6" max="6" width="11.7109375" bestFit="1" customWidth="1"/>
    <col min="12" max="12" width="13.5703125" bestFit="1" customWidth="1"/>
  </cols>
  <sheetData>
    <row r="1" spans="1:21" x14ac:dyDescent="0.25">
      <c r="A1" t="s">
        <v>8</v>
      </c>
      <c r="B1" s="16" t="s">
        <v>78</v>
      </c>
      <c r="C1" s="16" t="s">
        <v>45</v>
      </c>
      <c r="D1" s="16" t="s">
        <v>77</v>
      </c>
      <c r="E1" s="16" t="s">
        <v>46</v>
      </c>
      <c r="F1" s="16" t="s">
        <v>94</v>
      </c>
      <c r="G1" s="16" t="s">
        <v>5</v>
      </c>
      <c r="H1" s="16" t="s">
        <v>95</v>
      </c>
      <c r="I1" s="44" t="s">
        <v>9</v>
      </c>
      <c r="J1" s="44"/>
    </row>
    <row r="2" spans="1:21" x14ac:dyDescent="0.25">
      <c r="A2" t="s">
        <v>28</v>
      </c>
      <c r="B2" s="15">
        <v>2.4300000000000002</v>
      </c>
      <c r="C2" s="15"/>
      <c r="D2" s="15">
        <v>6.76</v>
      </c>
      <c r="E2" s="15">
        <v>0.13300000000000001</v>
      </c>
      <c r="F2" s="15">
        <v>31.415240000000001</v>
      </c>
      <c r="G2" s="15">
        <f>SUM(D2:F2)</f>
        <v>38.308239999999998</v>
      </c>
      <c r="H2" s="15">
        <f>SUM(B2:F2)</f>
        <v>40.738240000000005</v>
      </c>
      <c r="I2" s="15">
        <v>4.84</v>
      </c>
      <c r="J2" s="15">
        <f>1.96*I2</f>
        <v>9.4863999999999997</v>
      </c>
      <c r="K2">
        <f>F2*1.11</f>
        <v>34.870916400000006</v>
      </c>
      <c r="L2" t="s">
        <v>31</v>
      </c>
      <c r="M2" s="4">
        <f>1-H2/' 2016 gCO2eqtonkm'!$H$2</f>
        <v>0.37804213740458004</v>
      </c>
      <c r="O2" s="15"/>
      <c r="P2" s="44"/>
      <c r="Q2" s="16"/>
    </row>
    <row r="3" spans="1:21" x14ac:dyDescent="0.25">
      <c r="A3" t="s">
        <v>29</v>
      </c>
      <c r="B3" s="15">
        <v>2.42</v>
      </c>
      <c r="C3" s="15"/>
      <c r="D3" s="15">
        <v>-18.82</v>
      </c>
      <c r="E3" s="15"/>
      <c r="F3" s="15">
        <v>30.880749999999999</v>
      </c>
      <c r="G3" s="15">
        <f>SUM(D3:F3)</f>
        <v>12.060749999999999</v>
      </c>
      <c r="H3" s="15">
        <f>SUM(B3:F3)</f>
        <v>14.48075</v>
      </c>
      <c r="I3" s="15">
        <v>2</v>
      </c>
      <c r="J3" s="15">
        <f>1.96*I3</f>
        <v>3.92</v>
      </c>
      <c r="L3" t="s">
        <v>32</v>
      </c>
      <c r="M3" s="4">
        <f>1-H3/' 2016 gCO2eqtonkm'!$H$2</f>
        <v>0.77891984732824426</v>
      </c>
      <c r="O3" s="15"/>
      <c r="P3" s="44"/>
      <c r="Q3" s="16"/>
      <c r="U3" s="7"/>
    </row>
    <row r="4" spans="1:21" ht="30" x14ac:dyDescent="0.25">
      <c r="A4" t="s">
        <v>71</v>
      </c>
      <c r="B4" s="15">
        <v>2.42</v>
      </c>
      <c r="C4" s="15">
        <v>4.8499999999999996</v>
      </c>
      <c r="D4" s="15">
        <v>42.14</v>
      </c>
      <c r="E4" s="15"/>
      <c r="F4" s="15">
        <v>0</v>
      </c>
      <c r="G4" s="15">
        <v>42.14</v>
      </c>
      <c r="H4" s="15">
        <v>49.41</v>
      </c>
      <c r="I4" s="15">
        <v>6.74</v>
      </c>
      <c r="J4" s="15">
        <v>13.2104</v>
      </c>
      <c r="L4" s="3" t="s">
        <v>74</v>
      </c>
      <c r="M4" s="4">
        <f>1-H4/' 2016 gCO2eqtonkm'!$H$2</f>
        <v>0.24564885496183209</v>
      </c>
      <c r="O4" s="15"/>
      <c r="P4" s="45"/>
      <c r="Q4" s="16"/>
    </row>
    <row r="5" spans="1:21" ht="30" x14ac:dyDescent="0.25">
      <c r="A5" t="s">
        <v>72</v>
      </c>
      <c r="B5" s="15">
        <v>2.42</v>
      </c>
      <c r="C5" s="15">
        <v>4.8899999999999997</v>
      </c>
      <c r="D5" s="15">
        <v>43.48</v>
      </c>
      <c r="E5" s="15"/>
      <c r="F5" s="15">
        <v>0</v>
      </c>
      <c r="G5" s="15">
        <v>43.48</v>
      </c>
      <c r="H5" s="15">
        <v>50.79</v>
      </c>
      <c r="I5" s="15">
        <v>6.96</v>
      </c>
      <c r="J5" s="15">
        <v>13.6416</v>
      </c>
      <c r="L5" s="3" t="s">
        <v>75</v>
      </c>
      <c r="M5" s="4">
        <f>1-H5/' 2016 gCO2eqtonkm'!$H$2</f>
        <v>0.22458015267175568</v>
      </c>
      <c r="O5" s="15"/>
      <c r="P5" s="44"/>
      <c r="Q5" s="16"/>
    </row>
    <row r="6" spans="1:21" ht="30" x14ac:dyDescent="0.25">
      <c r="A6" t="s">
        <v>73</v>
      </c>
      <c r="B6" s="15">
        <v>2.42</v>
      </c>
      <c r="C6" s="15">
        <v>4.66</v>
      </c>
      <c r="D6" s="15">
        <v>32.57</v>
      </c>
      <c r="E6" s="15"/>
      <c r="F6" s="15">
        <v>0</v>
      </c>
      <c r="G6" s="15">
        <v>32.57</v>
      </c>
      <c r="H6" s="15">
        <v>39.65</v>
      </c>
      <c r="I6" s="15">
        <v>5.51</v>
      </c>
      <c r="J6" s="15">
        <v>10.7996</v>
      </c>
      <c r="L6" s="3" t="s">
        <v>76</v>
      </c>
      <c r="M6" s="4">
        <f>1-H6/' 2016 gCO2eqtonkm'!$H$2</f>
        <v>0.39465648854961832</v>
      </c>
      <c r="O6" s="15"/>
      <c r="P6" s="44"/>
      <c r="Q6" s="16"/>
    </row>
    <row r="7" spans="1:21" ht="48" x14ac:dyDescent="0.25">
      <c r="A7" t="s">
        <v>21</v>
      </c>
      <c r="B7" s="15">
        <v>3.66</v>
      </c>
      <c r="C7" s="15"/>
      <c r="D7" s="15">
        <v>57.98</v>
      </c>
      <c r="E7" s="15">
        <v>11.64781</v>
      </c>
      <c r="F7" s="15">
        <v>0</v>
      </c>
      <c r="G7" s="15">
        <f t="shared" ref="G7:G16" si="0">SUM(D7:F7)</f>
        <v>69.627809999999997</v>
      </c>
      <c r="H7" s="15">
        <f>SUM(B7:F7)</f>
        <v>73.287810000000007</v>
      </c>
      <c r="I7" s="15">
        <v>8.34</v>
      </c>
      <c r="J7" s="15">
        <f t="shared" ref="J7:J16" si="1">1.96*I7</f>
        <v>16.346399999999999</v>
      </c>
      <c r="L7" s="3" t="s">
        <v>33</v>
      </c>
      <c r="M7" s="4">
        <f>1-H7/' 2016 gCO2eqtonkm'!$H$2</f>
        <v>-0.11889786259542001</v>
      </c>
      <c r="O7" s="15"/>
      <c r="P7" s="44"/>
      <c r="Q7" s="16"/>
    </row>
    <row r="8" spans="1:21" ht="48" x14ac:dyDescent="0.25">
      <c r="A8" t="s">
        <v>22</v>
      </c>
      <c r="B8" s="15">
        <v>3.66</v>
      </c>
      <c r="C8" s="15"/>
      <c r="D8" s="15">
        <v>46.17</v>
      </c>
      <c r="E8" s="15">
        <v>11.64781</v>
      </c>
      <c r="F8" s="15">
        <v>0</v>
      </c>
      <c r="G8" s="15">
        <f t="shared" si="0"/>
        <v>57.817810000000001</v>
      </c>
      <c r="H8" s="15">
        <f>SUM(B8:F8)</f>
        <v>61.477809999999998</v>
      </c>
      <c r="I8" s="15">
        <v>7.5</v>
      </c>
      <c r="J8" s="15">
        <f t="shared" si="1"/>
        <v>14.7</v>
      </c>
      <c r="L8" s="3" t="s">
        <v>34</v>
      </c>
      <c r="M8" s="4">
        <f>1-H8/' 2016 gCO2eqtonkm'!$H$2</f>
        <v>6.1407480916030543E-2</v>
      </c>
      <c r="O8" s="15"/>
      <c r="P8" s="44"/>
      <c r="Q8" s="16"/>
    </row>
    <row r="9" spans="1:21" ht="48" x14ac:dyDescent="0.25">
      <c r="A9" t="s">
        <v>23</v>
      </c>
      <c r="B9" s="15">
        <v>3.66</v>
      </c>
      <c r="C9" s="15"/>
      <c r="D9" s="15">
        <v>19.98</v>
      </c>
      <c r="E9" s="15">
        <v>11.64781</v>
      </c>
      <c r="F9" s="15">
        <v>0</v>
      </c>
      <c r="G9" s="15">
        <f t="shared" si="0"/>
        <v>31.62781</v>
      </c>
      <c r="H9" s="15">
        <f>SUM(B9:F9)</f>
        <v>35.28781</v>
      </c>
      <c r="I9" s="15">
        <v>4.9000000000000004</v>
      </c>
      <c r="J9" s="15">
        <f t="shared" si="1"/>
        <v>9.604000000000001</v>
      </c>
      <c r="L9" s="3" t="s">
        <v>35</v>
      </c>
      <c r="M9" s="4">
        <f>1-H9/' 2016 gCO2eqtonkm'!$H$2</f>
        <v>0.46125480916030537</v>
      </c>
      <c r="O9" s="15"/>
      <c r="P9" s="44"/>
      <c r="Q9" s="16"/>
    </row>
    <row r="10" spans="1:21" x14ac:dyDescent="0.25">
      <c r="A10" t="s">
        <v>24</v>
      </c>
      <c r="B10" s="15">
        <v>3.66</v>
      </c>
      <c r="C10" s="15"/>
      <c r="D10" s="15">
        <v>87.775620000000004</v>
      </c>
      <c r="E10" s="15">
        <v>11.64781</v>
      </c>
      <c r="F10" s="15">
        <v>0</v>
      </c>
      <c r="G10" s="15">
        <f t="shared" si="0"/>
        <v>99.423429999999996</v>
      </c>
      <c r="H10" s="15">
        <f t="shared" ref="H10:H16" si="2">SUM(B10:F10)</f>
        <v>103.08342999999999</v>
      </c>
      <c r="I10" s="15">
        <v>10.8</v>
      </c>
      <c r="J10" s="15">
        <f t="shared" si="1"/>
        <v>21.167999999999999</v>
      </c>
      <c r="L10" s="10" t="s">
        <v>38</v>
      </c>
      <c r="M10" s="4">
        <f>1-H10/' 2016 gCO2eqtonkm'!$H$2</f>
        <v>-0.57379282442748081</v>
      </c>
      <c r="O10" s="15"/>
      <c r="Q10" s="16"/>
    </row>
    <row r="11" spans="1:21" x14ac:dyDescent="0.25">
      <c r="A11" t="s">
        <v>15</v>
      </c>
      <c r="B11" s="15">
        <v>3.66</v>
      </c>
      <c r="C11" s="15"/>
      <c r="D11" s="15">
        <v>81.09</v>
      </c>
      <c r="E11" s="15">
        <v>11.64781</v>
      </c>
      <c r="F11" s="15">
        <v>0</v>
      </c>
      <c r="G11" s="15">
        <f t="shared" si="0"/>
        <v>92.737809999999996</v>
      </c>
      <c r="H11" s="15">
        <f t="shared" si="2"/>
        <v>96.397809999999993</v>
      </c>
      <c r="I11" s="15">
        <v>10.5</v>
      </c>
      <c r="J11" s="15">
        <f t="shared" si="1"/>
        <v>20.58</v>
      </c>
      <c r="L11" s="10" t="s">
        <v>39</v>
      </c>
      <c r="M11" s="4">
        <f>1-H11/' 2016 gCO2eqtonkm'!$H$2</f>
        <v>-0.47172229007633582</v>
      </c>
      <c r="O11" s="15"/>
      <c r="Q11" s="16"/>
    </row>
    <row r="12" spans="1:21" x14ac:dyDescent="0.25">
      <c r="A12" t="s">
        <v>17</v>
      </c>
      <c r="B12" s="15">
        <v>3.66</v>
      </c>
      <c r="C12" s="15"/>
      <c r="D12" s="15">
        <v>37.229999999999997</v>
      </c>
      <c r="E12" s="15">
        <v>11.64781</v>
      </c>
      <c r="F12" s="15">
        <v>0</v>
      </c>
      <c r="G12" s="15">
        <f t="shared" si="0"/>
        <v>48.877809999999997</v>
      </c>
      <c r="H12" s="15">
        <f t="shared" si="2"/>
        <v>52.53781</v>
      </c>
      <c r="I12" s="15">
        <v>5.6</v>
      </c>
      <c r="J12" s="15">
        <f t="shared" si="1"/>
        <v>10.975999999999999</v>
      </c>
      <c r="L12" s="10" t="s">
        <v>40</v>
      </c>
      <c r="M12" s="4">
        <f>1-H12/' 2016 gCO2eqtonkm'!$H$2</f>
        <v>0.19789603053435112</v>
      </c>
      <c r="O12" s="15"/>
      <c r="Q12" s="16"/>
    </row>
    <row r="13" spans="1:21" x14ac:dyDescent="0.25">
      <c r="A13" s="2" t="s">
        <v>18</v>
      </c>
      <c r="B13" s="15">
        <v>3.66</v>
      </c>
      <c r="C13" s="15"/>
      <c r="D13" s="15">
        <v>30.87</v>
      </c>
      <c r="E13" s="15">
        <v>11.64781</v>
      </c>
      <c r="F13" s="15">
        <v>0</v>
      </c>
      <c r="G13" s="15">
        <f t="shared" si="0"/>
        <v>42.517809999999997</v>
      </c>
      <c r="H13" s="15">
        <f t="shared" si="2"/>
        <v>46.177810000000001</v>
      </c>
      <c r="I13" s="15">
        <v>5.0999999999999996</v>
      </c>
      <c r="J13" s="15">
        <f t="shared" si="1"/>
        <v>9.9959999999999987</v>
      </c>
      <c r="L13" s="10" t="s">
        <v>42</v>
      </c>
      <c r="M13" s="4">
        <f>1-H13/' 2016 gCO2eqtonkm'!$H$2</f>
        <v>0.29499526717557245</v>
      </c>
      <c r="O13" s="15"/>
      <c r="Q13" s="16"/>
    </row>
    <row r="14" spans="1:21" s="2" customFormat="1" x14ac:dyDescent="0.25">
      <c r="A14" s="2" t="s">
        <v>25</v>
      </c>
      <c r="B14" s="15">
        <v>3.66</v>
      </c>
      <c r="C14" s="17"/>
      <c r="D14" s="17">
        <v>14.4</v>
      </c>
      <c r="E14" s="15">
        <v>11.64781</v>
      </c>
      <c r="F14" s="17">
        <v>0</v>
      </c>
      <c r="G14" s="17">
        <f t="shared" si="0"/>
        <v>26.047809999999998</v>
      </c>
      <c r="H14" s="17">
        <f t="shared" si="2"/>
        <v>29.707810000000002</v>
      </c>
      <c r="I14" s="17">
        <v>3.15</v>
      </c>
      <c r="J14" s="17">
        <f t="shared" si="1"/>
        <v>6.1739999999999995</v>
      </c>
      <c r="L14" s="10" t="s">
        <v>43</v>
      </c>
      <c r="M14" s="4">
        <f>1-H14/' 2016 gCO2eqtonkm'!$H$2</f>
        <v>0.54644564885496183</v>
      </c>
      <c r="O14" s="15"/>
      <c r="P14"/>
      <c r="Q14" s="16"/>
    </row>
    <row r="15" spans="1:21" s="2" customFormat="1" x14ac:dyDescent="0.25">
      <c r="A15" s="2" t="s">
        <v>19</v>
      </c>
      <c r="B15" s="15">
        <v>3.66</v>
      </c>
      <c r="C15" s="17"/>
      <c r="D15" s="17">
        <v>3.25</v>
      </c>
      <c r="E15" s="15">
        <v>11.64781</v>
      </c>
      <c r="F15" s="17">
        <v>0</v>
      </c>
      <c r="G15" s="17">
        <f t="shared" si="0"/>
        <v>14.89781</v>
      </c>
      <c r="H15" s="17">
        <f t="shared" si="2"/>
        <v>18.55781</v>
      </c>
      <c r="I15" s="17">
        <v>1.98</v>
      </c>
      <c r="J15" s="17">
        <f t="shared" si="1"/>
        <v>3.8807999999999998</v>
      </c>
      <c r="L15" s="10" t="s">
        <v>41</v>
      </c>
      <c r="M15" s="4">
        <f>1-H15/' 2016 gCO2eqtonkm'!$H$2</f>
        <v>0.71667465648854956</v>
      </c>
      <c r="O15" s="15"/>
      <c r="P15"/>
      <c r="Q15" s="16"/>
    </row>
    <row r="16" spans="1:21" s="2" customFormat="1" x14ac:dyDescent="0.25">
      <c r="A16" s="2" t="s">
        <v>20</v>
      </c>
      <c r="B16" s="15">
        <v>3.66</v>
      </c>
      <c r="C16" s="17"/>
      <c r="D16" s="17">
        <v>1.56</v>
      </c>
      <c r="E16" s="17">
        <v>6.1</v>
      </c>
      <c r="F16" s="17">
        <v>0</v>
      </c>
      <c r="G16" s="17">
        <f t="shared" si="0"/>
        <v>7.66</v>
      </c>
      <c r="H16" s="17">
        <f t="shared" si="2"/>
        <v>11.32</v>
      </c>
      <c r="I16" s="17">
        <v>1.21</v>
      </c>
      <c r="J16" s="17">
        <f t="shared" si="1"/>
        <v>2.3715999999999999</v>
      </c>
      <c r="L16" s="10" t="s">
        <v>44</v>
      </c>
      <c r="M16" s="4">
        <f>1-H16/' 2016 gCO2eqtonkm'!$H$2</f>
        <v>0.82717557251908391</v>
      </c>
      <c r="O16" s="15"/>
      <c r="P16"/>
      <c r="Q16" s="16"/>
    </row>
    <row r="18" spans="5:5" x14ac:dyDescent="0.25">
      <c r="E18" s="7"/>
    </row>
  </sheetData>
  <mergeCells count="4">
    <mergeCell ref="I1:J1"/>
    <mergeCell ref="P2:P3"/>
    <mergeCell ref="P4:P6"/>
    <mergeCell ref="P7:P9"/>
  </mergeCells>
  <pageMargins left="0.7" right="0.7" top="0.75" bottom="0.75" header="0.3" footer="0.3"/>
  <pageSetup orientation="portrait" r:id="rId1"/>
  <headerFooter>
    <oddFooter>&amp;L&amp;1#&amp;"Arial"&amp;10&amp;K000000Saudi Aramco: Public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BM21"/>
  <sheetViews>
    <sheetView zoomScale="115" zoomScaleNormal="115" workbookViewId="0">
      <selection activeCell="Y7" sqref="Y7:Y9"/>
    </sheetView>
  </sheetViews>
  <sheetFormatPr defaultRowHeight="15" x14ac:dyDescent="0.25"/>
  <cols>
    <col min="5" max="5" width="6.5703125" customWidth="1"/>
    <col min="6" max="6" width="7" bestFit="1" customWidth="1"/>
    <col min="7" max="7" width="8.5703125" bestFit="1" customWidth="1"/>
    <col min="8" max="8" width="6.42578125" bestFit="1" customWidth="1"/>
    <col min="9" max="11" width="8.85546875" bestFit="1" customWidth="1"/>
  </cols>
  <sheetData>
    <row r="2" spans="1:65" x14ac:dyDescent="0.25">
      <c r="D2" s="10" t="s">
        <v>210</v>
      </c>
      <c r="E2" s="7">
        <f>' 2030 gCO2eqtonkm'!G2/'2030 EP ton km'!B5*1000/3.6</f>
        <v>93.763131357633071</v>
      </c>
      <c r="F2" t="s">
        <v>209</v>
      </c>
      <c r="P2" t="s">
        <v>47</v>
      </c>
      <c r="Q2" t="s">
        <v>49</v>
      </c>
      <c r="R2" t="s">
        <v>50</v>
      </c>
      <c r="AN2" s="23"/>
      <c r="AO2" s="23"/>
    </row>
    <row r="3" spans="1:65" x14ac:dyDescent="0.25">
      <c r="D3" s="10" t="s">
        <v>211</v>
      </c>
      <c r="E3" s="7">
        <f>' 2030 gCO2eqtonkm'!G3/'2030 EP ton km'!B5*1000/3.6</f>
        <v>29.519854906452846</v>
      </c>
    </row>
    <row r="4" spans="1:65" x14ac:dyDescent="0.25">
      <c r="D4" s="10"/>
    </row>
    <row r="5" spans="1:65" x14ac:dyDescent="0.25">
      <c r="F5" s="44" t="s">
        <v>81</v>
      </c>
      <c r="G5" s="44"/>
      <c r="H5" s="44"/>
      <c r="I5" s="44"/>
      <c r="J5" s="44"/>
      <c r="K5" s="44"/>
      <c r="P5" s="44" t="s">
        <v>86</v>
      </c>
      <c r="Q5" s="44"/>
      <c r="R5" s="44"/>
      <c r="Y5" s="44" t="s">
        <v>80</v>
      </c>
      <c r="Z5" s="44"/>
      <c r="AA5" s="44"/>
      <c r="AB5" s="44" t="s">
        <v>67</v>
      </c>
      <c r="AC5" s="44"/>
      <c r="AD5" s="44"/>
      <c r="AE5" s="44" t="s">
        <v>68</v>
      </c>
      <c r="AF5" s="44"/>
      <c r="AG5" s="44"/>
      <c r="AH5" s="44" t="s">
        <v>170</v>
      </c>
      <c r="AI5" s="44"/>
      <c r="AJ5" s="44"/>
      <c r="AN5" s="44" t="s">
        <v>47</v>
      </c>
      <c r="AO5" s="44"/>
      <c r="AP5" s="44"/>
      <c r="AQ5" s="44"/>
      <c r="AR5" s="44" t="s">
        <v>49</v>
      </c>
      <c r="AS5" s="44"/>
      <c r="AT5" s="44"/>
      <c r="AU5" s="44"/>
      <c r="AV5" s="44" t="s">
        <v>50</v>
      </c>
      <c r="AW5" s="44"/>
      <c r="AX5" s="44"/>
      <c r="AY5" s="44"/>
      <c r="BA5" s="23"/>
      <c r="BB5" s="44" t="s">
        <v>47</v>
      </c>
      <c r="BC5" s="44"/>
      <c r="BD5" s="44"/>
      <c r="BE5" s="44"/>
      <c r="BF5" s="44" t="s">
        <v>49</v>
      </c>
      <c r="BG5" s="44"/>
      <c r="BH5" s="44"/>
      <c r="BI5" s="44"/>
      <c r="BJ5" s="44" t="s">
        <v>50</v>
      </c>
      <c r="BK5" s="44"/>
      <c r="BL5" s="44"/>
      <c r="BM5" s="44"/>
    </row>
    <row r="6" spans="1:65" ht="78" x14ac:dyDescent="0.25">
      <c r="F6" s="5" t="s">
        <v>31</v>
      </c>
      <c r="G6" s="5" t="s">
        <v>32</v>
      </c>
      <c r="H6" s="6" t="s">
        <v>36</v>
      </c>
      <c r="I6" s="6" t="s">
        <v>33</v>
      </c>
      <c r="J6" s="6" t="s">
        <v>34</v>
      </c>
      <c r="K6" s="6" t="s">
        <v>35</v>
      </c>
      <c r="M6" s="16"/>
      <c r="N6" s="16"/>
      <c r="P6" s="16" t="s">
        <v>83</v>
      </c>
      <c r="Q6" s="16" t="s">
        <v>84</v>
      </c>
      <c r="R6" s="6" t="s">
        <v>85</v>
      </c>
      <c r="S6" s="6"/>
      <c r="T6" s="6"/>
      <c r="U6" s="6"/>
      <c r="Y6" s="23" t="s">
        <v>47</v>
      </c>
      <c r="Z6" s="23" t="s">
        <v>49</v>
      </c>
      <c r="AA6" s="23" t="s">
        <v>50</v>
      </c>
      <c r="AB6" s="23" t="s">
        <v>47</v>
      </c>
      <c r="AC6" s="23" t="s">
        <v>49</v>
      </c>
      <c r="AD6" s="23" t="s">
        <v>50</v>
      </c>
      <c r="AE6" s="23" t="s">
        <v>47</v>
      </c>
      <c r="AF6" s="23" t="s">
        <v>49</v>
      </c>
      <c r="AG6" s="23" t="s">
        <v>50</v>
      </c>
      <c r="AH6" s="23" t="s">
        <v>47</v>
      </c>
      <c r="AI6" s="23" t="s">
        <v>49</v>
      </c>
      <c r="AJ6" s="23" t="s">
        <v>50</v>
      </c>
      <c r="AN6" t="s">
        <v>80</v>
      </c>
      <c r="AO6" t="s">
        <v>67</v>
      </c>
      <c r="AP6" t="s">
        <v>68</v>
      </c>
      <c r="AQ6" t="s">
        <v>170</v>
      </c>
      <c r="AR6" s="23" t="s">
        <v>80</v>
      </c>
      <c r="AS6" s="23" t="s">
        <v>67</v>
      </c>
      <c r="AT6" s="23" t="s">
        <v>68</v>
      </c>
      <c r="AU6" s="23" t="s">
        <v>170</v>
      </c>
      <c r="AV6" s="23" t="s">
        <v>80</v>
      </c>
      <c r="AW6" s="23" t="s">
        <v>67</v>
      </c>
      <c r="AX6" s="23" t="s">
        <v>68</v>
      </c>
      <c r="AY6" s="23" t="s">
        <v>170</v>
      </c>
      <c r="BA6" s="23"/>
      <c r="BB6" s="23" t="s">
        <v>80</v>
      </c>
      <c r="BC6" s="23" t="s">
        <v>67</v>
      </c>
      <c r="BD6" s="23" t="s">
        <v>68</v>
      </c>
      <c r="BE6" s="23" t="s">
        <v>170</v>
      </c>
      <c r="BF6" s="23" t="s">
        <v>80</v>
      </c>
      <c r="BG6" s="23" t="s">
        <v>67</v>
      </c>
      <c r="BH6" s="23" t="s">
        <v>68</v>
      </c>
      <c r="BI6" s="23" t="s">
        <v>170</v>
      </c>
      <c r="BJ6" s="23" t="s">
        <v>80</v>
      </c>
      <c r="BK6" s="23" t="s">
        <v>67</v>
      </c>
      <c r="BL6" s="23" t="s">
        <v>68</v>
      </c>
      <c r="BM6" s="23" t="s">
        <v>170</v>
      </c>
    </row>
    <row r="7" spans="1:65" x14ac:dyDescent="0.25">
      <c r="A7" s="4"/>
      <c r="B7" s="23"/>
      <c r="D7">
        <f>E7*1.6</f>
        <v>240</v>
      </c>
      <c r="E7">
        <v>150</v>
      </c>
      <c r="F7" s="15">
        <f>'2030 EP ton km'!B5*3.6/1000*$E$2+' 2030 gCO2eqtonkm'!$B$2</f>
        <v>40.738239999999998</v>
      </c>
      <c r="G7" s="15">
        <f>'2030 EP ton km'!B5*3.6/1000*$E$3+' 2030 gCO2eqtonkm'!$B$3</f>
        <v>14.48075</v>
      </c>
      <c r="H7" s="26">
        <f>' 2030 gCO2eqtonkm'!H4</f>
        <v>49.41</v>
      </c>
      <c r="I7" s="26">
        <f>' 2030 gCO2eqtonkm'!H7</f>
        <v>73.287810000000007</v>
      </c>
      <c r="J7" s="26">
        <f>' 2030 gCO2eqtonkm'!H8</f>
        <v>61.477809999999998</v>
      </c>
      <c r="K7" s="26">
        <f>' 2030 gCO2eqtonkm'!H9</f>
        <v>35.28781</v>
      </c>
      <c r="L7" s="8"/>
      <c r="O7">
        <v>150</v>
      </c>
      <c r="P7" s="26">
        <v>17.899999999999999</v>
      </c>
      <c r="Q7" s="26">
        <v>16.670000000000002</v>
      </c>
      <c r="R7" s="26">
        <v>18.8</v>
      </c>
      <c r="S7" s="41">
        <f>R7/P7-1</f>
        <v>5.0279329608938772E-2</v>
      </c>
      <c r="T7" s="18">
        <f>1-Q7/$P$7</f>
        <v>6.871508379888247E-2</v>
      </c>
      <c r="U7" s="11"/>
      <c r="X7" s="10" t="s">
        <v>167</v>
      </c>
      <c r="Y7" s="26">
        <v>14</v>
      </c>
      <c r="Z7" s="26">
        <v>13</v>
      </c>
      <c r="AA7" s="26">
        <v>12.5</v>
      </c>
      <c r="AB7" s="26">
        <v>14</v>
      </c>
      <c r="AC7" s="26">
        <v>13</v>
      </c>
      <c r="AD7" s="26">
        <v>12.5</v>
      </c>
      <c r="AE7" s="26">
        <v>14</v>
      </c>
      <c r="AF7" s="26">
        <v>13</v>
      </c>
      <c r="AG7" s="26">
        <v>12.5</v>
      </c>
      <c r="AH7" s="37">
        <v>14</v>
      </c>
      <c r="AI7" s="37">
        <v>13</v>
      </c>
      <c r="AJ7" s="37">
        <v>12.5</v>
      </c>
      <c r="AM7" s="10" t="s">
        <v>167</v>
      </c>
      <c r="AN7" s="26">
        <f>Y7</f>
        <v>14</v>
      </c>
      <c r="AO7" s="26">
        <f>AB7</f>
        <v>14</v>
      </c>
      <c r="AP7" s="26">
        <f>AE7</f>
        <v>14</v>
      </c>
      <c r="AQ7" s="26">
        <f>AH7</f>
        <v>14</v>
      </c>
      <c r="AR7" s="26">
        <f>Z7</f>
        <v>13</v>
      </c>
      <c r="AS7" s="26">
        <f>AC7</f>
        <v>13</v>
      </c>
      <c r="AT7" s="26">
        <f>AF7</f>
        <v>13</v>
      </c>
      <c r="AU7" s="26">
        <f>AI7</f>
        <v>13</v>
      </c>
      <c r="AV7" s="26">
        <f>AA7</f>
        <v>12.5</v>
      </c>
      <c r="AW7" s="26">
        <f>AD7</f>
        <v>12.5</v>
      </c>
      <c r="AX7" s="26">
        <f>AG7</f>
        <v>12.5</v>
      </c>
      <c r="AY7" s="26">
        <f>AJ7</f>
        <v>12.5</v>
      </c>
      <c r="BA7" s="10" t="s">
        <v>167</v>
      </c>
      <c r="BB7" s="26">
        <f>AN7</f>
        <v>14</v>
      </c>
      <c r="BC7" s="26">
        <f t="shared" ref="BC7:BM7" si="0">AO7</f>
        <v>14</v>
      </c>
      <c r="BD7" s="26">
        <f t="shared" si="0"/>
        <v>14</v>
      </c>
      <c r="BE7" s="26">
        <f t="shared" si="0"/>
        <v>14</v>
      </c>
      <c r="BF7" s="26">
        <f t="shared" si="0"/>
        <v>13</v>
      </c>
      <c r="BG7" s="26">
        <f t="shared" si="0"/>
        <v>13</v>
      </c>
      <c r="BH7" s="26">
        <f t="shared" si="0"/>
        <v>13</v>
      </c>
      <c r="BI7" s="26">
        <f t="shared" si="0"/>
        <v>13</v>
      </c>
      <c r="BJ7" s="26">
        <f t="shared" si="0"/>
        <v>12.5</v>
      </c>
      <c r="BK7" s="26">
        <f t="shared" si="0"/>
        <v>12.5</v>
      </c>
      <c r="BL7" s="26">
        <f t="shared" si="0"/>
        <v>12.5</v>
      </c>
      <c r="BM7" s="26">
        <f t="shared" si="0"/>
        <v>12.5</v>
      </c>
    </row>
    <row r="8" spans="1:65" x14ac:dyDescent="0.25">
      <c r="A8" s="4"/>
      <c r="B8" s="23"/>
      <c r="D8">
        <f>E8*1.6</f>
        <v>480</v>
      </c>
      <c r="E8">
        <v>300</v>
      </c>
      <c r="F8" s="15">
        <f>'2030 EP ton km'!B6*3.6/1000*$E$2+' 2030 gCO2eqtonkm'!$B$2</f>
        <v>40.934692512820511</v>
      </c>
      <c r="G8" s="15">
        <f>'2030 EP ton km'!B6*3.6/1000*$E$3+' 2030 gCO2eqtonkm'!$B$3</f>
        <v>14.5426</v>
      </c>
      <c r="H8" s="11">
        <v>61.33</v>
      </c>
      <c r="I8" s="11">
        <v>72.150000000000006</v>
      </c>
      <c r="J8" s="11">
        <v>60.22</v>
      </c>
      <c r="K8" s="11">
        <v>34.78</v>
      </c>
      <c r="L8" s="8"/>
      <c r="O8">
        <v>300</v>
      </c>
      <c r="P8" s="26">
        <v>17.899999999999999</v>
      </c>
      <c r="Q8" s="26">
        <v>14.84</v>
      </c>
      <c r="R8" s="26">
        <v>18.7</v>
      </c>
      <c r="S8" s="41">
        <f t="shared" ref="S8:S10" si="1">R8/P8-1</f>
        <v>4.4692737430167551E-2</v>
      </c>
      <c r="T8" s="18">
        <f>1-Q8/$P$7</f>
        <v>0.17094972067039105</v>
      </c>
      <c r="U8" s="11"/>
      <c r="X8" s="10" t="s">
        <v>168</v>
      </c>
      <c r="Y8" s="26">
        <f>31.5-Y7-Y9</f>
        <v>17.463433521999999</v>
      </c>
      <c r="Z8" s="26">
        <f t="shared" ref="Z8:AA8" si="2">31.5-Z7-Z9</f>
        <v>16.697361766666667</v>
      </c>
      <c r="AA8" s="26">
        <f t="shared" si="2"/>
        <v>18.869966416</v>
      </c>
      <c r="AB8" s="26">
        <f t="shared" ref="AB8" si="3">31.5-AB7-AB9</f>
        <v>17.421591470079999</v>
      </c>
      <c r="AC8" s="26">
        <f t="shared" ref="AC8" si="4">31.5-AC7-AC9</f>
        <v>14.8944736</v>
      </c>
      <c r="AD8" s="26">
        <f t="shared" ref="AD8" si="5">31.5-AD7-AD9</f>
        <v>18.97386745312</v>
      </c>
      <c r="AE8" s="26">
        <f t="shared" ref="AE8" si="6">31.5-AE7-AE9</f>
        <v>17.343482122240001</v>
      </c>
      <c r="AF8" s="26">
        <f t="shared" ref="AF8" si="7">31.5-AF7-AF9</f>
        <v>10.881386666666668</v>
      </c>
      <c r="AG8" s="26">
        <f t="shared" ref="AG8" si="8">31.5-AG7-AG9</f>
        <v>18.947858878720002</v>
      </c>
      <c r="AH8" s="26">
        <f t="shared" ref="AH8" ca="1" si="9">31.5-AH7-AH9</f>
        <v>17.7</v>
      </c>
      <c r="AI8" s="26">
        <f t="shared" ref="AI8" ca="1" si="10">31.5-AI7-AI9</f>
        <v>7.490000000000002</v>
      </c>
      <c r="AJ8" s="26">
        <f t="shared" ref="AJ8" ca="1" si="11">31.5-AJ7-AJ9</f>
        <v>18</v>
      </c>
      <c r="AM8" s="10" t="s">
        <v>168</v>
      </c>
      <c r="AN8" s="26">
        <f t="shared" ref="AN8:AN9" si="12">Y8</f>
        <v>17.463433521999999</v>
      </c>
      <c r="AO8" s="26">
        <f t="shared" ref="AO8:AO9" si="13">AB8</f>
        <v>17.421591470079999</v>
      </c>
      <c r="AP8" s="26">
        <f t="shared" ref="AP8:AP9" si="14">AE8</f>
        <v>17.343482122240001</v>
      </c>
      <c r="AQ8" s="26">
        <f t="shared" ref="AQ8:AQ9" ca="1" si="15">AH8</f>
        <v>17.7</v>
      </c>
      <c r="AR8" s="26">
        <f t="shared" ref="AR8:AR9" si="16">Z8</f>
        <v>16.697361766666667</v>
      </c>
      <c r="AS8" s="26">
        <f t="shared" ref="AS8:AS9" si="17">AC8</f>
        <v>14.8944736</v>
      </c>
      <c r="AT8" s="26">
        <f t="shared" ref="AT8:AT9" si="18">AF8</f>
        <v>10.881386666666668</v>
      </c>
      <c r="AU8" s="26">
        <f t="shared" ref="AU8:AU9" ca="1" si="19">AI8</f>
        <v>7.490000000000002</v>
      </c>
      <c r="AV8" s="26">
        <f t="shared" ref="AV8:AV9" si="20">AA8</f>
        <v>18.869966416</v>
      </c>
      <c r="AW8" s="26">
        <f t="shared" ref="AW8:AW9" si="21">AD8</f>
        <v>18.97386745312</v>
      </c>
      <c r="AX8" s="26">
        <f t="shared" ref="AX8:AX9" si="22">AG8</f>
        <v>18.947858878720002</v>
      </c>
      <c r="AY8" s="26">
        <f t="shared" ref="AY8:AY9" ca="1" si="23">AJ8</f>
        <v>18</v>
      </c>
      <c r="BA8" s="10" t="s">
        <v>168</v>
      </c>
      <c r="BB8" s="26">
        <f>36-BB7-BB9</f>
        <v>21.963433521999999</v>
      </c>
      <c r="BC8" s="26">
        <f t="shared" ref="BC8:BM8" si="24">36-BC7-BC9</f>
        <v>21.921591470079999</v>
      </c>
      <c r="BD8" s="26">
        <f t="shared" si="24"/>
        <v>21.843482122240001</v>
      </c>
      <c r="BE8" s="26">
        <f t="shared" ca="1" si="24"/>
        <v>22.2</v>
      </c>
      <c r="BF8" s="26">
        <f t="shared" si="24"/>
        <v>21.197361766666667</v>
      </c>
      <c r="BG8" s="26">
        <f t="shared" si="24"/>
        <v>19.394473599999998</v>
      </c>
      <c r="BH8" s="26">
        <f t="shared" si="24"/>
        <v>15.381386666666668</v>
      </c>
      <c r="BI8" s="26">
        <f t="shared" ca="1" si="24"/>
        <v>11.990000000000002</v>
      </c>
      <c r="BJ8" s="26">
        <f t="shared" si="24"/>
        <v>23.369966416</v>
      </c>
      <c r="BK8" s="26">
        <f t="shared" si="24"/>
        <v>23.47386745312</v>
      </c>
      <c r="BL8" s="26">
        <f t="shared" si="24"/>
        <v>23.447858878720002</v>
      </c>
      <c r="BM8" s="26">
        <f t="shared" ca="1" si="24"/>
        <v>22.5</v>
      </c>
    </row>
    <row r="9" spans="1:65" x14ac:dyDescent="0.25">
      <c r="D9">
        <f>E9*1.6</f>
        <v>960</v>
      </c>
      <c r="E9">
        <v>600</v>
      </c>
      <c r="F9" s="15">
        <f>'2030 EP ton km'!B7*3.6/1000*$E$2+' 2030 gCO2eqtonkm'!$B$2</f>
        <v>41.077137461979028</v>
      </c>
      <c r="G9" s="15">
        <f>'2030 EP ton km'!B7*3.6/1000*$E$3+' 2030 gCO2eqtonkm'!$B$3</f>
        <v>14.587446563573884</v>
      </c>
      <c r="H9" s="11">
        <v>99.47</v>
      </c>
      <c r="I9" s="11">
        <v>73.510000000000005</v>
      </c>
      <c r="J9" s="11">
        <v>61.55</v>
      </c>
      <c r="K9" s="11">
        <v>35.369999999999997</v>
      </c>
      <c r="L9" s="8"/>
      <c r="O9">
        <v>600</v>
      </c>
      <c r="P9" s="26">
        <v>17.8</v>
      </c>
      <c r="Q9" s="26">
        <v>11.2</v>
      </c>
      <c r="R9" s="26">
        <v>18.3</v>
      </c>
      <c r="S9" s="41">
        <f t="shared" si="1"/>
        <v>2.8089887640449396E-2</v>
      </c>
      <c r="T9" s="18">
        <f>1-Q9/$P$7</f>
        <v>0.37430167597765363</v>
      </c>
      <c r="U9" s="11"/>
      <c r="X9" s="10" t="s">
        <v>169</v>
      </c>
      <c r="Y9" s="26">
        <f>'Energy Consumption'!E7*3.6/48/1000</f>
        <v>3.6566477999999999E-2</v>
      </c>
      <c r="Z9" s="26">
        <f>'Energy Consumption'!E10/300/0.48</f>
        <v>1.8026382333333335</v>
      </c>
      <c r="AA9" s="26">
        <f>'Energy Consumption'!E13*3.6/12/1000</f>
        <v>0.13003358399999998</v>
      </c>
      <c r="AB9" s="26">
        <f>'Energy Consumption'!E8*3.6/45/1000</f>
        <v>7.8408529919999984E-2</v>
      </c>
      <c r="AC9" s="26">
        <f>'Energy Consumption'!E11/300/0.48</f>
        <v>3.6055264000000009</v>
      </c>
      <c r="AD9" s="26">
        <f>'Energy Consumption'!E14*3.6/120/1000</f>
        <v>2.613254688E-2</v>
      </c>
      <c r="AE9" s="26">
        <f>'Energy Consumption'!E9*3.6/45/1000</f>
        <v>0.15651787776000001</v>
      </c>
      <c r="AF9" s="26">
        <f>'Energy Consumption'!E12/300/0.48</f>
        <v>7.6186133333333323</v>
      </c>
      <c r="AG9" s="26">
        <f>'Energy Consumption'!E15*3.6/120/1000</f>
        <v>5.2141121280000008E-2</v>
      </c>
      <c r="AH9" s="26">
        <f t="shared" ref="AH9:AJ9" ca="1" si="25">31.5-AH8-AH7</f>
        <v>-0.19999999999999929</v>
      </c>
      <c r="AI9" s="26">
        <f t="shared" ca="1" si="25"/>
        <v>11.009999999999998</v>
      </c>
      <c r="AJ9" s="26">
        <f t="shared" ca="1" si="25"/>
        <v>1</v>
      </c>
      <c r="AM9" s="10" t="s">
        <v>169</v>
      </c>
      <c r="AN9" s="26">
        <f t="shared" si="12"/>
        <v>3.6566477999999999E-2</v>
      </c>
      <c r="AO9" s="26">
        <f t="shared" si="13"/>
        <v>7.8408529919999984E-2</v>
      </c>
      <c r="AP9" s="26">
        <f t="shared" si="14"/>
        <v>0.15651787776000001</v>
      </c>
      <c r="AQ9" s="26">
        <f t="shared" ca="1" si="15"/>
        <v>-0.19999999999999929</v>
      </c>
      <c r="AR9" s="26">
        <f t="shared" si="16"/>
        <v>1.8026382333333335</v>
      </c>
      <c r="AS9" s="26">
        <f t="shared" si="17"/>
        <v>3.6055264000000009</v>
      </c>
      <c r="AT9" s="26">
        <f t="shared" si="18"/>
        <v>7.6186133333333323</v>
      </c>
      <c r="AU9" s="26">
        <f t="shared" ca="1" si="19"/>
        <v>11.009999999999998</v>
      </c>
      <c r="AV9" s="26">
        <f t="shared" si="20"/>
        <v>0.13003358399999998</v>
      </c>
      <c r="AW9" s="26">
        <f t="shared" si="21"/>
        <v>2.613254688E-2</v>
      </c>
      <c r="AX9" s="26">
        <f t="shared" si="22"/>
        <v>5.2141121280000008E-2</v>
      </c>
      <c r="AY9" s="26">
        <f t="shared" ca="1" si="23"/>
        <v>1</v>
      </c>
      <c r="BA9" s="10" t="s">
        <v>169</v>
      </c>
      <c r="BB9" s="26">
        <f>AN9</f>
        <v>3.6566477999999999E-2</v>
      </c>
      <c r="BC9" s="26">
        <f t="shared" ref="BC9:BG9" si="26">AO9</f>
        <v>7.8408529919999984E-2</v>
      </c>
      <c r="BD9" s="26">
        <f t="shared" si="26"/>
        <v>0.15651787776000001</v>
      </c>
      <c r="BE9" s="26">
        <f t="shared" ca="1" si="26"/>
        <v>-0.19999999999999929</v>
      </c>
      <c r="BF9" s="26">
        <f t="shared" si="26"/>
        <v>1.8026382333333335</v>
      </c>
      <c r="BG9" s="26">
        <f t="shared" si="26"/>
        <v>3.6055264000000009</v>
      </c>
      <c r="BH9" s="26">
        <f t="shared" ref="BH9" si="27">AT9</f>
        <v>7.6186133333333323</v>
      </c>
      <c r="BI9" s="26">
        <f t="shared" ref="BI9:BM9" ca="1" si="28">AU9</f>
        <v>11.009999999999998</v>
      </c>
      <c r="BJ9" s="26">
        <f t="shared" si="28"/>
        <v>0.13003358399999998</v>
      </c>
      <c r="BK9" s="26">
        <f t="shared" si="28"/>
        <v>2.613254688E-2</v>
      </c>
      <c r="BL9" s="26">
        <f t="shared" si="28"/>
        <v>5.2141121280000008E-2</v>
      </c>
      <c r="BM9" s="26">
        <f t="shared" ca="1" si="28"/>
        <v>1</v>
      </c>
    </row>
    <row r="10" spans="1:65" x14ac:dyDescent="0.25">
      <c r="D10">
        <f>E10*1.6</f>
        <v>1440</v>
      </c>
      <c r="E10">
        <v>900</v>
      </c>
      <c r="F10" s="15">
        <f>'2030 EP ton km'!B7*3.6/1000*$E$2+' 2030 gCO2eqtonkm'!$B$2</f>
        <v>41.077137461979028</v>
      </c>
      <c r="G10" s="15">
        <f>'2030 EP ton km'!B7*3.6/1000*$E$3+' 2030 gCO2eqtonkm'!$B$3</f>
        <v>14.587446563573884</v>
      </c>
      <c r="H10" s="11">
        <v>169.12</v>
      </c>
      <c r="I10" s="11">
        <v>75.02</v>
      </c>
      <c r="J10" s="11">
        <v>62.66</v>
      </c>
      <c r="K10" s="11">
        <v>36.07</v>
      </c>
      <c r="L10" s="8"/>
      <c r="O10">
        <v>900</v>
      </c>
      <c r="P10" s="26">
        <v>17.7</v>
      </c>
      <c r="Q10" s="26">
        <v>7.49</v>
      </c>
      <c r="R10" s="26">
        <v>18</v>
      </c>
      <c r="S10" s="41">
        <f t="shared" si="1"/>
        <v>1.6949152542372836E-2</v>
      </c>
      <c r="T10" s="18">
        <f>1-Q10/$P$7</f>
        <v>0.58156424581005584</v>
      </c>
      <c r="U10" s="11"/>
      <c r="Z10">
        <f>Z9*300*0.48</f>
        <v>259.57990560000002</v>
      </c>
      <c r="AC10" s="23">
        <f>AC9*300*0.48</f>
        <v>519.1958016000001</v>
      </c>
      <c r="AF10" s="23">
        <f>AF9*300*0.48</f>
        <v>1097.0803199999998</v>
      </c>
      <c r="AI10" s="23">
        <f ca="1">AI9*300*0.48</f>
        <v>1585.4399999999998</v>
      </c>
      <c r="BF10" s="14">
        <f>1-BF8/$BF$8</f>
        <v>0</v>
      </c>
      <c r="BG10" s="14">
        <f t="shared" ref="BG10:BI10" si="29">1-BG8/$BF$8</f>
        <v>8.5052479007163617E-2</v>
      </c>
      <c r="BH10" s="14">
        <f t="shared" si="29"/>
        <v>0.27437259240184086</v>
      </c>
      <c r="BI10" s="14">
        <f t="shared" ca="1" si="29"/>
        <v>0.43436357165661299</v>
      </c>
    </row>
    <row r="11" spans="1:65" x14ac:dyDescent="0.25">
      <c r="Y11" s="25"/>
    </row>
    <row r="12" spans="1:65" x14ac:dyDescent="0.25">
      <c r="H12" s="26"/>
      <c r="I12" s="26"/>
      <c r="R12" s="13"/>
      <c r="BB12" s="12"/>
    </row>
    <row r="13" spans="1:65" x14ac:dyDescent="0.25">
      <c r="Q13" s="23"/>
      <c r="R13" s="21"/>
    </row>
    <row r="14" spans="1:65" x14ac:dyDescent="0.25">
      <c r="R14" s="21"/>
    </row>
    <row r="15" spans="1:65" x14ac:dyDescent="0.25">
      <c r="R15" s="21"/>
    </row>
    <row r="16" spans="1:65" x14ac:dyDescent="0.25">
      <c r="F16" s="44" t="s">
        <v>82</v>
      </c>
      <c r="G16" s="44"/>
      <c r="H16" s="44"/>
      <c r="I16" s="44"/>
      <c r="J16" s="44"/>
      <c r="K16" s="44"/>
    </row>
    <row r="17" spans="5:13" x14ac:dyDescent="0.25">
      <c r="F17" t="s">
        <v>70</v>
      </c>
      <c r="G17" t="s">
        <v>45</v>
      </c>
      <c r="H17" t="s">
        <v>69</v>
      </c>
      <c r="I17" t="s">
        <v>46</v>
      </c>
      <c r="J17" t="s">
        <v>26</v>
      </c>
      <c r="K17" t="s">
        <v>6</v>
      </c>
    </row>
    <row r="18" spans="5:13" x14ac:dyDescent="0.25">
      <c r="E18" s="10" t="s">
        <v>80</v>
      </c>
      <c r="F18" s="11">
        <v>2.42</v>
      </c>
      <c r="G18" s="11">
        <v>4.8600000000000003</v>
      </c>
      <c r="H18" s="11">
        <v>42.25</v>
      </c>
      <c r="I18" s="11"/>
      <c r="J18" s="11">
        <v>0</v>
      </c>
      <c r="K18" s="15">
        <f>SUM(F18:J18)</f>
        <v>49.53</v>
      </c>
      <c r="L18" s="26">
        <v>260</v>
      </c>
      <c r="M18" s="21">
        <f>K18/H7</f>
        <v>1.0024286581663633</v>
      </c>
    </row>
    <row r="19" spans="5:13" x14ac:dyDescent="0.25">
      <c r="E19" s="10" t="s">
        <v>67</v>
      </c>
      <c r="F19" s="11">
        <v>2.72</v>
      </c>
      <c r="G19" s="11">
        <v>10.94</v>
      </c>
      <c r="H19" s="11">
        <v>47.65</v>
      </c>
      <c r="I19" s="11"/>
      <c r="J19" s="11">
        <v>0</v>
      </c>
      <c r="K19" s="15">
        <f>SUM(F19:J19)</f>
        <v>61.31</v>
      </c>
      <c r="L19" s="26">
        <v>520</v>
      </c>
      <c r="M19" s="21">
        <f t="shared" ref="M19:M20" si="30">K19/H8</f>
        <v>0.99967389532039796</v>
      </c>
    </row>
    <row r="20" spans="5:13" x14ac:dyDescent="0.25">
      <c r="E20" s="10" t="s">
        <v>68</v>
      </c>
      <c r="F20" s="11">
        <v>3.6</v>
      </c>
      <c r="G20" s="11">
        <v>30</v>
      </c>
      <c r="H20" s="11">
        <v>64.81</v>
      </c>
      <c r="I20" s="11"/>
      <c r="J20" s="11">
        <v>0</v>
      </c>
      <c r="K20" s="15">
        <f>SUM(F20:J20)</f>
        <v>98.41</v>
      </c>
      <c r="L20" s="26">
        <v>1100</v>
      </c>
      <c r="M20" s="21">
        <f t="shared" si="30"/>
        <v>0.98934352065949527</v>
      </c>
    </row>
    <row r="21" spans="5:13" x14ac:dyDescent="0.25">
      <c r="E21" s="10"/>
    </row>
  </sheetData>
  <mergeCells count="13">
    <mergeCell ref="F16:K16"/>
    <mergeCell ref="F5:K5"/>
    <mergeCell ref="P5:R5"/>
    <mergeCell ref="Y5:AA5"/>
    <mergeCell ref="AB5:AD5"/>
    <mergeCell ref="BB5:BE5"/>
    <mergeCell ref="BF5:BI5"/>
    <mergeCell ref="BJ5:BM5"/>
    <mergeCell ref="AE5:AG5"/>
    <mergeCell ref="AH5:AJ5"/>
    <mergeCell ref="AN5:AQ5"/>
    <mergeCell ref="AR5:AU5"/>
    <mergeCell ref="AV5:AY5"/>
  </mergeCells>
  <pageMargins left="0.7" right="0.7" top="0.75" bottom="0.75" header="0.3" footer="0.3"/>
  <pageSetup orientation="portrait" r:id="rId1"/>
  <headerFooter>
    <oddFooter>&amp;L&amp;1#&amp;"Arial"&amp;10&amp;K000000Saudi Aramco: Public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Overview Tables</vt:lpstr>
      <vt:lpstr>Literature Survey</vt:lpstr>
      <vt:lpstr>Powertrain parameters</vt:lpstr>
      <vt:lpstr>Fuels CI values</vt:lpstr>
      <vt:lpstr> 2016 gCO2eqkm</vt:lpstr>
      <vt:lpstr> 2016 gCO2eqtonkm</vt:lpstr>
      <vt:lpstr> 2030 gCO2eqkm</vt:lpstr>
      <vt:lpstr> 2030 gCO2eqtonkm</vt:lpstr>
      <vt:lpstr>Distance &amp; Payload</vt:lpstr>
      <vt:lpstr>2030 EP ton km</vt:lpstr>
      <vt:lpstr>Truck manufacturing &amp; recycling</vt:lpstr>
      <vt:lpstr>Energy Consumption</vt:lpstr>
      <vt:lpstr>Sensitivity GVW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Company General Use</cp:keywords>
  <cp:lastModifiedBy/>
  <dcterms:created xsi:type="dcterms:W3CDTF">2015-06-05T18:17:20Z</dcterms:created>
  <dcterms:modified xsi:type="dcterms:W3CDTF">2022-05-22T07:23:35Z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4bb59e6f-c856-46f3-8cb5-965f498e362c</vt:lpwstr>
  </property>
  <property fmtid="{D5CDD505-2E9C-101B-9397-08002B2CF9AE}" pid="3" name="Editor">
    <vt:lpwstr>ABDUAF0A</vt:lpwstr>
  </property>
  <property fmtid="{D5CDD505-2E9C-101B-9397-08002B2CF9AE}" pid="4" name="Last Modification date">
    <vt:lpwstr>2021-05-27</vt:lpwstr>
  </property>
  <property fmtid="{D5CDD505-2E9C-101B-9397-08002B2CF9AE}" pid="5" name="Last Modification time">
    <vt:lpwstr>3:36:46 PM</vt:lpwstr>
  </property>
  <property fmtid="{D5CDD505-2E9C-101B-9397-08002B2CF9AE}" pid="6" name="CLASSIFICATION">
    <vt:lpwstr>CompanyGeneralUse</vt:lpwstr>
  </property>
  <property fmtid="{D5CDD505-2E9C-101B-9397-08002B2CF9AE}" pid="7" name="MSIP_Label_37815aaf-7408-4215-9024-78fd196cf630_Enabled">
    <vt:lpwstr>True</vt:lpwstr>
  </property>
  <property fmtid="{D5CDD505-2E9C-101B-9397-08002B2CF9AE}" pid="8" name="MSIP_Label_37815aaf-7408-4215-9024-78fd196cf630_SiteId">
    <vt:lpwstr>5a1e0c10-68b1-4667-974b-f394ba989c51</vt:lpwstr>
  </property>
  <property fmtid="{D5CDD505-2E9C-101B-9397-08002B2CF9AE}" pid="9" name="MSIP_Label_37815aaf-7408-4215-9024-78fd196cf630_Owner">
    <vt:lpwstr>abduaf0a@aramco.com</vt:lpwstr>
  </property>
  <property fmtid="{D5CDD505-2E9C-101B-9397-08002B2CF9AE}" pid="10" name="MSIP_Label_37815aaf-7408-4215-9024-78fd196cf630_SetDate">
    <vt:lpwstr>2022-05-22T07:06:00.0931422Z</vt:lpwstr>
  </property>
  <property fmtid="{D5CDD505-2E9C-101B-9397-08002B2CF9AE}" pid="11" name="MSIP_Label_37815aaf-7408-4215-9024-78fd196cf630_Name">
    <vt:lpwstr>Public</vt:lpwstr>
  </property>
  <property fmtid="{D5CDD505-2E9C-101B-9397-08002B2CF9AE}" pid="12" name="MSIP_Label_37815aaf-7408-4215-9024-78fd196cf630_Application">
    <vt:lpwstr>Microsoft Azure Information Protection</vt:lpwstr>
  </property>
  <property fmtid="{D5CDD505-2E9C-101B-9397-08002B2CF9AE}" pid="13" name="MSIP_Label_37815aaf-7408-4215-9024-78fd196cf630_ActionId">
    <vt:lpwstr>240dc148-6ac7-4f26-8844-0007f5d23b88</vt:lpwstr>
  </property>
  <property fmtid="{D5CDD505-2E9C-101B-9397-08002B2CF9AE}" pid="14" name="MSIP_Label_37815aaf-7408-4215-9024-78fd196cf630_Extended_MSFT_Method">
    <vt:lpwstr>Manual</vt:lpwstr>
  </property>
  <property fmtid="{D5CDD505-2E9C-101B-9397-08002B2CF9AE}" pid="15" name="Sensitivity">
    <vt:lpwstr>Public</vt:lpwstr>
  </property>
</Properties>
</file>